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285" windowWidth="15195" windowHeight="7755" tabRatio="604"/>
  </bookViews>
  <sheets>
    <sheet name="Прогноз 2025-2027 " sheetId="1" r:id="rId1"/>
    <sheet name="Приложение 2" sheetId="2" r:id="rId2"/>
    <sheet name="Прил 3 (расчет ИФО) (2)" sheetId="9" r:id="rId3"/>
    <sheet name="Прил 4 (показатели предприятий)" sheetId="13" r:id="rId4"/>
    <sheet name="Прил 5 Прогноз по поселениям" sheetId="8" r:id="rId5"/>
    <sheet name="Прил 6 Инвестпроекты" sheetId="12" r:id="rId6"/>
  </sheets>
  <externalReferences>
    <externalReference r:id="rId7"/>
  </externalReferences>
  <definedNames>
    <definedName name="_xlnm.Print_Titles" localSheetId="2">'Прил 3 (расчет ИФО) (2)'!$5:$7</definedName>
    <definedName name="_xlnm.Print_Titles" localSheetId="4">'Прил 5 Прогноз по поселениям'!$A:$A,'Прил 5 Прогноз по поселениям'!$4:$7</definedName>
    <definedName name="_xlnm.Print_Titles" localSheetId="1">'Приложение 2'!$A:$A,'Приложение 2'!$4:$7</definedName>
    <definedName name="_xlnm.Print_Titles" localSheetId="0">'Прогноз 2025-2027 '!$6:$8</definedName>
    <definedName name="_xlnm.Print_Area" localSheetId="2">'Прил 3 (расчет ИФО) (2)'!$A$1:$T$40</definedName>
    <definedName name="_xlnm.Print_Area" localSheetId="3">'Прил 4 (показатели предприятий)'!$A$1:$I$67</definedName>
    <definedName name="_xlnm.Print_Area" localSheetId="4">'Прил 5 Прогноз по поселениям'!$A$1:$BC$25</definedName>
    <definedName name="_xlnm.Print_Area" localSheetId="5">'Прил 6 Инвестпроекты'!$A$1:$O$16</definedName>
    <definedName name="_xlnm.Print_Area" localSheetId="1">'Приложение 2'!$A$1:$AF$79</definedName>
    <definedName name="_xlnm.Print_Area" localSheetId="0">'Прогноз 2025-2027 '!$A$1:$I$181</definedName>
  </definedNames>
  <calcPr calcId="144525" refMode="R1C1"/>
</workbook>
</file>

<file path=xl/calcChain.xml><?xml version="1.0" encoding="utf-8"?>
<calcChain xmlns="http://schemas.openxmlformats.org/spreadsheetml/2006/main">
  <c r="S22" i="8" l="1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E57" i="1"/>
  <c r="D58" i="1"/>
  <c r="D47" i="1"/>
  <c r="F136" i="1" l="1"/>
  <c r="G136" i="1" s="1"/>
  <c r="H136" i="1" s="1"/>
  <c r="H160" i="1" s="1"/>
  <c r="I136" i="1" l="1"/>
  <c r="I169" i="1" l="1"/>
  <c r="H169" i="1"/>
  <c r="I52" i="1"/>
  <c r="I51" i="1"/>
  <c r="I45" i="1"/>
  <c r="I40" i="1"/>
  <c r="I37" i="1"/>
  <c r="AE23" i="8"/>
  <c r="AE22" i="8"/>
  <c r="Y22" i="8"/>
  <c r="AE21" i="8"/>
  <c r="Y21" i="8"/>
  <c r="AE20" i="8"/>
  <c r="Y20" i="8"/>
  <c r="AE19" i="8"/>
  <c r="Y19" i="8"/>
  <c r="AE18" i="8"/>
  <c r="Y18" i="8"/>
  <c r="AE17" i="8"/>
  <c r="Y17" i="8"/>
  <c r="AE16" i="8"/>
  <c r="Y16" i="8"/>
  <c r="AE15" i="8"/>
  <c r="Y15" i="8"/>
  <c r="AE14" i="8"/>
  <c r="Y14" i="8"/>
  <c r="AE13" i="8"/>
  <c r="Y13" i="8"/>
  <c r="AE12" i="8"/>
  <c r="Y12" i="8"/>
  <c r="AE11" i="8"/>
  <c r="Y11" i="8"/>
  <c r="AE10" i="8"/>
  <c r="Y10" i="8"/>
  <c r="AE9" i="8"/>
  <c r="W9" i="8"/>
  <c r="X9" i="8" s="1"/>
  <c r="Y9" i="8" s="1"/>
  <c r="AE8" i="8"/>
  <c r="W8" i="8"/>
  <c r="X8" i="8" s="1"/>
  <c r="Y8" i="8" s="1"/>
  <c r="I34" i="1" l="1"/>
  <c r="C33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0" i="1"/>
  <c r="G56" i="1"/>
  <c r="G55" i="1"/>
  <c r="G54" i="1"/>
  <c r="G53" i="1"/>
  <c r="G52" i="1"/>
  <c r="G51" i="1"/>
  <c r="G50" i="1"/>
  <c r="G45" i="1"/>
  <c r="G39" i="1"/>
  <c r="G36" i="1"/>
  <c r="G30" i="1"/>
  <c r="I23" i="1"/>
  <c r="I20" i="1"/>
  <c r="I15" i="1"/>
  <c r="I10" i="1"/>
  <c r="H10" i="1"/>
  <c r="G24" i="1"/>
  <c r="G23" i="1"/>
  <c r="G21" i="1"/>
  <c r="G20" i="1"/>
  <c r="G19" i="1"/>
  <c r="G18" i="1"/>
  <c r="G17" i="1"/>
  <c r="G16" i="1"/>
  <c r="G15" i="1"/>
  <c r="G14" i="1"/>
  <c r="G13" i="1"/>
  <c r="G12" i="1"/>
  <c r="G10" i="1"/>
  <c r="E24" i="1"/>
  <c r="E23" i="1"/>
  <c r="F23" i="1" s="1"/>
  <c r="E21" i="1"/>
  <c r="F24" i="1"/>
  <c r="F21" i="1"/>
  <c r="F20" i="1"/>
  <c r="F19" i="1"/>
  <c r="F18" i="1"/>
  <c r="F17" i="1"/>
  <c r="F16" i="1"/>
  <c r="F15" i="1"/>
  <c r="F14" i="1"/>
  <c r="F13" i="1"/>
  <c r="F12" i="1"/>
  <c r="F10" i="1"/>
  <c r="E19" i="1"/>
  <c r="E18" i="1"/>
  <c r="E17" i="1"/>
  <c r="E16" i="1"/>
  <c r="E15" i="1"/>
  <c r="E14" i="1"/>
  <c r="E13" i="1"/>
  <c r="E12" i="1"/>
  <c r="E10" i="1"/>
  <c r="E20" i="1"/>
  <c r="I79" i="1" l="1"/>
  <c r="H79" i="1"/>
  <c r="F79" i="1"/>
  <c r="E79" i="1"/>
  <c r="D79" i="1"/>
  <c r="C79" i="1"/>
  <c r="F94" i="1"/>
  <c r="F78" i="1"/>
  <c r="F77" i="1"/>
  <c r="F76" i="1"/>
  <c r="F75" i="1"/>
  <c r="F74" i="1"/>
  <c r="F73" i="1"/>
  <c r="F72" i="1"/>
  <c r="D72" i="1"/>
  <c r="F70" i="1"/>
  <c r="F69" i="1"/>
  <c r="F68" i="1"/>
  <c r="F67" i="1"/>
  <c r="F66" i="1"/>
  <c r="H62" i="1"/>
  <c r="F62" i="1"/>
  <c r="E62" i="1"/>
  <c r="D62" i="1"/>
  <c r="C62" i="1"/>
  <c r="C60" i="1" s="1"/>
  <c r="H60" i="1"/>
  <c r="E60" i="1"/>
  <c r="F60" i="1" s="1"/>
  <c r="D60" i="1"/>
  <c r="F55" i="1"/>
  <c r="F54" i="1"/>
  <c r="H52" i="1"/>
  <c r="E52" i="1"/>
  <c r="F52" i="1" s="1"/>
  <c r="D52" i="1"/>
  <c r="C52" i="1"/>
  <c r="F51" i="1"/>
  <c r="F50" i="1"/>
  <c r="H48" i="1"/>
  <c r="E48" i="1"/>
  <c r="F48" i="1" s="1"/>
  <c r="G48" i="1" s="1"/>
  <c r="F45" i="1"/>
  <c r="H43" i="1"/>
  <c r="E43" i="1"/>
  <c r="F43" i="1" s="1"/>
  <c r="G43" i="1" s="1"/>
  <c r="D43" i="1"/>
  <c r="H40" i="1"/>
  <c r="E40" i="1"/>
  <c r="F40" i="1" s="1"/>
  <c r="G40" i="1" s="1"/>
  <c r="D40" i="1"/>
  <c r="F39" i="1"/>
  <c r="H37" i="1"/>
  <c r="E37" i="1"/>
  <c r="F37" i="1" s="1"/>
  <c r="G37" i="1" s="1"/>
  <c r="D37" i="1"/>
  <c r="F36" i="1"/>
  <c r="H34" i="1"/>
  <c r="D34" i="1"/>
  <c r="E30" i="1"/>
  <c r="C34" i="1"/>
  <c r="H26" i="1"/>
  <c r="I26" i="1" s="1"/>
  <c r="D26" i="1"/>
  <c r="E26" i="1" s="1"/>
  <c r="F26" i="1" s="1"/>
  <c r="G26" i="1" s="1"/>
  <c r="C26" i="1"/>
  <c r="H25" i="1"/>
  <c r="I25" i="1" s="1"/>
  <c r="D25" i="1"/>
  <c r="E25" i="1" s="1"/>
  <c r="F25" i="1" s="1"/>
  <c r="G25" i="1" s="1"/>
  <c r="C25" i="1"/>
  <c r="H24" i="1"/>
  <c r="I24" i="1" s="1"/>
  <c r="C24" i="1"/>
  <c r="H22" i="1"/>
  <c r="I22" i="1" s="1"/>
  <c r="D22" i="1"/>
  <c r="E22" i="1" s="1"/>
  <c r="F22" i="1" s="1"/>
  <c r="G22" i="1" s="1"/>
  <c r="C22" i="1"/>
  <c r="H21" i="1"/>
  <c r="I21" i="1" s="1"/>
  <c r="H19" i="1"/>
  <c r="I19" i="1" s="1"/>
  <c r="H18" i="1"/>
  <c r="I18" i="1" s="1"/>
  <c r="H17" i="1"/>
  <c r="I17" i="1" s="1"/>
  <c r="H16" i="1"/>
  <c r="I16" i="1" s="1"/>
  <c r="H14" i="1"/>
  <c r="I14" i="1" s="1"/>
  <c r="H13" i="1"/>
  <c r="I13" i="1" s="1"/>
  <c r="H12" i="1"/>
  <c r="I12" i="1" s="1"/>
  <c r="G58" i="1" l="1"/>
  <c r="F57" i="1"/>
  <c r="G57" i="1" s="1"/>
  <c r="E34" i="1"/>
  <c r="F34" i="1" s="1"/>
  <c r="G34" i="1" s="1"/>
  <c r="E29" i="1"/>
  <c r="F29" i="1" s="1"/>
  <c r="G29" i="1" s="1"/>
  <c r="H29" i="1" s="1"/>
  <c r="I29" i="1" s="1"/>
  <c r="I33" i="1" s="1"/>
  <c r="E47" i="1"/>
  <c r="F47" i="1" s="1"/>
  <c r="G47" i="1" s="1"/>
  <c r="H47" i="1" s="1"/>
  <c r="I47" i="1" s="1"/>
  <c r="I48" i="1" s="1"/>
  <c r="D33" i="1" l="1"/>
  <c r="E42" i="1"/>
  <c r="F42" i="1" l="1"/>
  <c r="G42" i="1" s="1"/>
  <c r="H42" i="1" l="1"/>
  <c r="E33" i="1"/>
  <c r="F33" i="1" s="1"/>
  <c r="G33" i="1" s="1"/>
  <c r="H33" i="1" l="1"/>
  <c r="I42" i="1"/>
  <c r="I43" i="1" s="1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BC23" i="8"/>
  <c r="BB23" i="8"/>
  <c r="BA23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AK23" i="8"/>
  <c r="AJ23" i="8"/>
  <c r="AG23" i="8"/>
  <c r="AF23" i="8"/>
  <c r="J23" i="9"/>
  <c r="J24" i="9" s="1"/>
  <c r="J27" i="9"/>
  <c r="J17" i="9"/>
  <c r="J18" i="9"/>
  <c r="J31" i="9"/>
  <c r="P31" i="9" s="1"/>
  <c r="O34" i="9"/>
  <c r="N34" i="9"/>
  <c r="J34" i="9"/>
  <c r="P34" i="9" s="1"/>
  <c r="J33" i="9"/>
  <c r="K33" i="9"/>
  <c r="T36" i="9"/>
  <c r="S36" i="9"/>
  <c r="R36" i="9"/>
  <c r="Q36" i="9"/>
  <c r="P33" i="9"/>
  <c r="J30" i="9"/>
  <c r="J36" i="9" s="1"/>
  <c r="P36" i="9" s="1"/>
  <c r="P30" i="9"/>
  <c r="O36" i="9"/>
  <c r="N36" i="9"/>
  <c r="M36" i="9"/>
  <c r="L36" i="9"/>
  <c r="K36" i="9"/>
  <c r="O35" i="9"/>
  <c r="N35" i="9"/>
  <c r="M35" i="9"/>
  <c r="L35" i="9"/>
  <c r="K35" i="9"/>
  <c r="J35" i="9"/>
  <c r="Q34" i="9"/>
  <c r="T34" i="9"/>
  <c r="S34" i="9"/>
  <c r="M34" i="9"/>
  <c r="R34" i="9" s="1"/>
  <c r="L34" i="9"/>
  <c r="K34" i="9"/>
  <c r="T33" i="9"/>
  <c r="O33" i="9"/>
  <c r="N33" i="9"/>
  <c r="S33" i="9" s="1"/>
  <c r="M33" i="9"/>
  <c r="R33" i="9" s="1"/>
  <c r="L33" i="9"/>
  <c r="Q33" i="9" s="1"/>
  <c r="O32" i="9"/>
  <c r="N32" i="9"/>
  <c r="M32" i="9"/>
  <c r="L32" i="9"/>
  <c r="K32" i="9"/>
  <c r="J32" i="9"/>
  <c r="R31" i="9"/>
  <c r="O31" i="9"/>
  <c r="T31" i="9" s="1"/>
  <c r="N31" i="9"/>
  <c r="S31" i="9" s="1"/>
  <c r="M31" i="9"/>
  <c r="L31" i="9"/>
  <c r="Q31" i="9" s="1"/>
  <c r="K31" i="9"/>
  <c r="Q30" i="9"/>
  <c r="O30" i="9"/>
  <c r="T30" i="9" s="1"/>
  <c r="N30" i="9"/>
  <c r="S30" i="9" s="1"/>
  <c r="M30" i="9"/>
  <c r="R30" i="9" s="1"/>
  <c r="L30" i="9"/>
  <c r="K30" i="9"/>
  <c r="T28" i="9"/>
  <c r="S28" i="9"/>
  <c r="R28" i="9"/>
  <c r="Q28" i="9"/>
  <c r="O28" i="9"/>
  <c r="N28" i="9"/>
  <c r="M28" i="9"/>
  <c r="L28" i="9"/>
  <c r="K28" i="9"/>
  <c r="J28" i="9"/>
  <c r="R27" i="9"/>
  <c r="O27" i="9"/>
  <c r="T27" i="9" s="1"/>
  <c r="N27" i="9"/>
  <c r="S27" i="9" s="1"/>
  <c r="M27" i="9"/>
  <c r="L27" i="9"/>
  <c r="Q27" i="9" s="1"/>
  <c r="K27" i="9"/>
  <c r="P27" i="9" s="1"/>
  <c r="P28" i="9" s="1"/>
  <c r="T25" i="9"/>
  <c r="S25" i="9"/>
  <c r="R25" i="9"/>
  <c r="Q25" i="9"/>
  <c r="O25" i="9"/>
  <c r="N25" i="9"/>
  <c r="M25" i="9"/>
  <c r="L25" i="9"/>
  <c r="K25" i="9"/>
  <c r="T24" i="9"/>
  <c r="S24" i="9"/>
  <c r="R24" i="9"/>
  <c r="Q24" i="9"/>
  <c r="O24" i="9"/>
  <c r="N24" i="9"/>
  <c r="M24" i="9"/>
  <c r="L24" i="9"/>
  <c r="K24" i="9"/>
  <c r="R23" i="9"/>
  <c r="O23" i="9"/>
  <c r="T23" i="9" s="1"/>
  <c r="N23" i="9"/>
  <c r="S23" i="9" s="1"/>
  <c r="M23" i="9"/>
  <c r="L23" i="9"/>
  <c r="Q23" i="9" s="1"/>
  <c r="K23" i="9"/>
  <c r="P23" i="9" s="1"/>
  <c r="P24" i="9" s="1"/>
  <c r="J20" i="9"/>
  <c r="O21" i="9"/>
  <c r="N21" i="9"/>
  <c r="M21" i="9"/>
  <c r="S21" i="9" s="1"/>
  <c r="L21" i="9"/>
  <c r="Q21" i="9" s="1"/>
  <c r="K21" i="9"/>
  <c r="J21" i="9"/>
  <c r="T21" i="9"/>
  <c r="R20" i="9"/>
  <c r="O20" i="9"/>
  <c r="T20" i="9" s="1"/>
  <c r="N20" i="9"/>
  <c r="S20" i="9" s="1"/>
  <c r="M20" i="9"/>
  <c r="L20" i="9"/>
  <c r="Q20" i="9" s="1"/>
  <c r="K20" i="9"/>
  <c r="R18" i="9"/>
  <c r="O18" i="9"/>
  <c r="T18" i="9" s="1"/>
  <c r="N18" i="9"/>
  <c r="S18" i="9" s="1"/>
  <c r="M18" i="9"/>
  <c r="L18" i="9"/>
  <c r="Q18" i="9" s="1"/>
  <c r="K18" i="9"/>
  <c r="P18" i="9" s="1"/>
  <c r="Q17" i="9"/>
  <c r="O17" i="9"/>
  <c r="T17" i="9" s="1"/>
  <c r="N17" i="9"/>
  <c r="S17" i="9" s="1"/>
  <c r="M17" i="9"/>
  <c r="R17" i="9" s="1"/>
  <c r="L17" i="9"/>
  <c r="K17" i="9"/>
  <c r="P17" i="9" s="1"/>
  <c r="T14" i="9"/>
  <c r="T13" i="9"/>
  <c r="O14" i="9"/>
  <c r="O13" i="9"/>
  <c r="N13" i="9"/>
  <c r="M13" i="9"/>
  <c r="L13" i="9"/>
  <c r="K13" i="9"/>
  <c r="K14" i="9" s="1"/>
  <c r="J13" i="9"/>
  <c r="J14" i="9" s="1"/>
  <c r="O11" i="9"/>
  <c r="N11" i="9"/>
  <c r="M11" i="9"/>
  <c r="R11" i="9"/>
  <c r="T11" i="9"/>
  <c r="S11" i="9"/>
  <c r="L11" i="9"/>
  <c r="Q11" i="9" s="1"/>
  <c r="K11" i="9"/>
  <c r="P11" i="9" s="1"/>
  <c r="J11" i="9"/>
  <c r="Z78" i="2"/>
  <c r="Y78" i="2"/>
  <c r="X78" i="2"/>
  <c r="W78" i="2"/>
  <c r="V78" i="2"/>
  <c r="U78" i="2"/>
  <c r="AF78" i="2"/>
  <c r="AE78" i="2"/>
  <c r="AD78" i="2"/>
  <c r="AC78" i="2"/>
  <c r="AB78" i="2"/>
  <c r="AA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AC67" i="2"/>
  <c r="W67" i="2" s="1"/>
  <c r="AB67" i="2"/>
  <c r="V67" i="2"/>
  <c r="U67" i="2"/>
  <c r="J67" i="2"/>
  <c r="K67" i="2" s="1"/>
  <c r="L67" i="2" s="1"/>
  <c r="M67" i="2" s="1"/>
  <c r="N67" i="2" s="1"/>
  <c r="E67" i="2"/>
  <c r="F67" i="2" s="1"/>
  <c r="G67" i="2" s="1"/>
  <c r="H67" i="2" s="1"/>
  <c r="D67" i="2"/>
  <c r="J25" i="9" l="1"/>
  <c r="P25" i="9" s="1"/>
  <c r="P21" i="9"/>
  <c r="P20" i="9"/>
  <c r="R21" i="9"/>
  <c r="R13" i="9"/>
  <c r="S13" i="9"/>
  <c r="M14" i="9"/>
  <c r="R14" i="9" s="1"/>
  <c r="Q13" i="9"/>
  <c r="L14" i="9"/>
  <c r="Q14" i="9" s="1"/>
  <c r="P14" i="9"/>
  <c r="P13" i="9"/>
  <c r="AD67" i="2"/>
  <c r="N14" i="9" l="1"/>
  <c r="S14" i="9" s="1"/>
  <c r="AE67" i="2"/>
  <c r="X67" i="2"/>
  <c r="AF67" i="2" l="1"/>
  <c r="Z67" i="2" s="1"/>
  <c r="Y67" i="2"/>
  <c r="Z8" i="2" l="1"/>
  <c r="Y8" i="2"/>
  <c r="X8" i="2"/>
  <c r="W8" i="2"/>
  <c r="V8" i="2"/>
  <c r="U8" i="2"/>
  <c r="AF8" i="2"/>
  <c r="AE8" i="2"/>
  <c r="AD8" i="2"/>
  <c r="AC8" i="2"/>
  <c r="AB8" i="2"/>
  <c r="AA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Z9" i="2"/>
  <c r="Y9" i="2"/>
  <c r="X9" i="2"/>
  <c r="W9" i="2"/>
  <c r="V9" i="2"/>
  <c r="U9" i="2"/>
  <c r="AF9" i="2"/>
  <c r="AE9" i="2"/>
  <c r="AD9" i="2"/>
  <c r="AC9" i="2"/>
  <c r="AB9" i="2"/>
  <c r="AA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Z56" i="2"/>
  <c r="Y56" i="2"/>
  <c r="X56" i="2"/>
  <c r="W56" i="2"/>
  <c r="V56" i="2"/>
  <c r="U56" i="2"/>
  <c r="AF56" i="2"/>
  <c r="AE56" i="2"/>
  <c r="AD56" i="2"/>
  <c r="AC56" i="2"/>
  <c r="AB56" i="2"/>
  <c r="AA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Z48" i="2"/>
  <c r="Y48" i="2"/>
  <c r="X48" i="2"/>
  <c r="W48" i="2"/>
  <c r="V48" i="2"/>
  <c r="U48" i="2"/>
  <c r="AF48" i="2"/>
  <c r="AE48" i="2"/>
  <c r="AD48" i="2"/>
  <c r="AC48" i="2"/>
  <c r="AB48" i="2"/>
  <c r="AA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Z38" i="2"/>
  <c r="Y38" i="2"/>
  <c r="X38" i="2"/>
  <c r="W38" i="2"/>
  <c r="V38" i="2"/>
  <c r="U38" i="2"/>
  <c r="AF38" i="2"/>
  <c r="AE38" i="2"/>
  <c r="AD38" i="2"/>
  <c r="AC38" i="2"/>
  <c r="AB38" i="2"/>
  <c r="AA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Z28" i="2"/>
  <c r="Y28" i="2"/>
  <c r="X28" i="2"/>
  <c r="W28" i="2"/>
  <c r="V28" i="2"/>
  <c r="U28" i="2"/>
  <c r="AF28" i="2"/>
  <c r="AE28" i="2"/>
  <c r="AD28" i="2"/>
  <c r="AC28" i="2"/>
  <c r="AB28" i="2"/>
  <c r="AA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H26" i="2"/>
  <c r="H33" i="2"/>
  <c r="H32" i="2"/>
  <c r="N33" i="2"/>
  <c r="N32" i="2"/>
  <c r="N26" i="2"/>
  <c r="N24" i="2" s="1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M24" i="2"/>
  <c r="L24" i="2"/>
  <c r="K24" i="2"/>
  <c r="J24" i="2"/>
  <c r="I24" i="2"/>
  <c r="H24" i="2"/>
  <c r="G24" i="2"/>
  <c r="F24" i="2"/>
  <c r="E24" i="2"/>
  <c r="D24" i="2"/>
  <c r="C24" i="2"/>
  <c r="Z73" i="2"/>
  <c r="Y73" i="2"/>
  <c r="X73" i="2"/>
  <c r="W73" i="2"/>
  <c r="V73" i="2"/>
  <c r="U73" i="2"/>
  <c r="AF73" i="2"/>
  <c r="AE73" i="2"/>
  <c r="AD73" i="2"/>
  <c r="AC73" i="2"/>
  <c r="AB73" i="2"/>
  <c r="AA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O7" i="12"/>
  <c r="N7" i="12"/>
  <c r="M7" i="12"/>
  <c r="L7" i="12"/>
  <c r="K7" i="12"/>
  <c r="J7" i="12"/>
  <c r="I7" i="12"/>
  <c r="G7" i="12"/>
  <c r="AX22" i="8"/>
  <c r="AX21" i="8"/>
  <c r="AX20" i="8"/>
  <c r="AX19" i="8"/>
  <c r="AX18" i="8"/>
  <c r="AX17" i="8"/>
  <c r="AX16" i="8"/>
  <c r="AX15" i="8"/>
  <c r="AX14" i="8"/>
  <c r="AX13" i="8"/>
  <c r="AX12" i="8"/>
  <c r="AX11" i="8"/>
  <c r="AX10" i="8"/>
  <c r="AX9" i="8"/>
  <c r="AX8" i="8"/>
  <c r="P22" i="8"/>
  <c r="Q22" i="8" s="1"/>
  <c r="R22" i="8" s="1"/>
  <c r="P21" i="8"/>
  <c r="Q21" i="8" s="1"/>
  <c r="R21" i="8" s="1"/>
  <c r="Q20" i="8"/>
  <c r="R20" i="8" s="1"/>
  <c r="P20" i="8"/>
  <c r="P19" i="8"/>
  <c r="Q19" i="8" s="1"/>
  <c r="R19" i="8" s="1"/>
  <c r="P18" i="8"/>
  <c r="Q18" i="8" s="1"/>
  <c r="R18" i="8" s="1"/>
  <c r="P17" i="8"/>
  <c r="Q17" i="8" s="1"/>
  <c r="R17" i="8" s="1"/>
  <c r="Q16" i="8"/>
  <c r="R16" i="8" s="1"/>
  <c r="P16" i="8"/>
  <c r="P15" i="8"/>
  <c r="Q15" i="8" s="1"/>
  <c r="R15" i="8" s="1"/>
  <c r="P14" i="8"/>
  <c r="Q14" i="8" s="1"/>
  <c r="R14" i="8" s="1"/>
  <c r="P13" i="8"/>
  <c r="Q13" i="8" s="1"/>
  <c r="R13" i="8" s="1"/>
  <c r="Q12" i="8"/>
  <c r="R12" i="8" s="1"/>
  <c r="P12" i="8"/>
  <c r="P11" i="8"/>
  <c r="Q11" i="8" s="1"/>
  <c r="R11" i="8" s="1"/>
  <c r="P10" i="8"/>
  <c r="Q10" i="8" s="1"/>
  <c r="R10" i="8" s="1"/>
  <c r="R9" i="8"/>
  <c r="P9" i="8"/>
  <c r="L22" i="8"/>
  <c r="K22" i="8"/>
  <c r="K21" i="8"/>
  <c r="L21" i="8" s="1"/>
  <c r="L20" i="8"/>
  <c r="L19" i="8"/>
  <c r="L18" i="8"/>
  <c r="L17" i="8"/>
  <c r="K17" i="8"/>
  <c r="K16" i="8"/>
  <c r="L16" i="8" s="1"/>
  <c r="L15" i="8"/>
  <c r="K14" i="8"/>
  <c r="L14" i="8" s="1"/>
  <c r="K13" i="8"/>
  <c r="L13" i="8" s="1"/>
  <c r="K12" i="8"/>
  <c r="L12" i="8" s="1"/>
  <c r="L11" i="8"/>
  <c r="L10" i="8"/>
  <c r="K10" i="8"/>
  <c r="D22" i="8"/>
  <c r="E22" i="8" s="1"/>
  <c r="F22" i="8" s="1"/>
  <c r="D21" i="8"/>
  <c r="E21" i="8" s="1"/>
  <c r="F21" i="8" s="1"/>
  <c r="D20" i="8"/>
  <c r="E20" i="8" s="1"/>
  <c r="F20" i="8" s="1"/>
  <c r="E19" i="8"/>
  <c r="F19" i="8" s="1"/>
  <c r="D19" i="8"/>
  <c r="D18" i="8"/>
  <c r="E18" i="8" s="1"/>
  <c r="F18" i="8" s="1"/>
  <c r="D17" i="8"/>
  <c r="E17" i="8" s="1"/>
  <c r="F17" i="8" s="1"/>
  <c r="D16" i="8"/>
  <c r="E16" i="8" s="1"/>
  <c r="F16" i="8" s="1"/>
  <c r="E15" i="8"/>
  <c r="F15" i="8" s="1"/>
  <c r="D15" i="8"/>
  <c r="D14" i="8"/>
  <c r="E14" i="8" s="1"/>
  <c r="F14" i="8" s="1"/>
  <c r="D13" i="8"/>
  <c r="E13" i="8" s="1"/>
  <c r="F13" i="8" s="1"/>
  <c r="D12" i="8"/>
  <c r="E12" i="8" s="1"/>
  <c r="F12" i="8" s="1"/>
  <c r="E11" i="8"/>
  <c r="F11" i="8" s="1"/>
  <c r="D11" i="8"/>
  <c r="D10" i="8"/>
  <c r="E10" i="8" s="1"/>
  <c r="F10" i="8" s="1"/>
  <c r="F180" i="1" l="1"/>
  <c r="G180" i="1" s="1"/>
  <c r="H180" i="1" s="1"/>
  <c r="I180" i="1" s="1"/>
  <c r="F179" i="1"/>
  <c r="G179" i="1" s="1"/>
  <c r="H179" i="1" s="1"/>
  <c r="I179" i="1" s="1"/>
  <c r="F176" i="1"/>
  <c r="G176" i="1" s="1"/>
  <c r="H176" i="1" s="1"/>
  <c r="I176" i="1" s="1"/>
  <c r="F173" i="1"/>
  <c r="G173" i="1" s="1"/>
  <c r="H173" i="1" s="1"/>
  <c r="I173" i="1" s="1"/>
  <c r="F172" i="1"/>
  <c r="G172" i="1" s="1"/>
  <c r="H172" i="1" s="1"/>
  <c r="I172" i="1" s="1"/>
  <c r="F171" i="1"/>
  <c r="G171" i="1" s="1"/>
  <c r="H171" i="1" s="1"/>
  <c r="I171" i="1" s="1"/>
  <c r="G169" i="1"/>
  <c r="F169" i="1"/>
  <c r="C167" i="1"/>
  <c r="G166" i="1"/>
  <c r="G165" i="1"/>
  <c r="E164" i="1"/>
  <c r="D164" i="1"/>
  <c r="C164" i="1"/>
  <c r="E163" i="1"/>
  <c r="D163" i="1"/>
  <c r="C163" i="1"/>
  <c r="C162" i="1"/>
  <c r="D159" i="1"/>
  <c r="D162" i="1" s="1"/>
  <c r="G158" i="1"/>
  <c r="G157" i="1"/>
  <c r="H157" i="1" s="1"/>
  <c r="I157" i="1" s="1"/>
  <c r="G156" i="1"/>
  <c r="H156" i="1" s="1"/>
  <c r="I156" i="1" s="1"/>
  <c r="F155" i="1"/>
  <c r="G155" i="1" s="1"/>
  <c r="G154" i="1"/>
  <c r="H154" i="1" s="1"/>
  <c r="G153" i="1"/>
  <c r="H153" i="1" s="1"/>
  <c r="I153" i="1" s="1"/>
  <c r="H152" i="1"/>
  <c r="I152" i="1" s="1"/>
  <c r="G152" i="1"/>
  <c r="G151" i="1"/>
  <c r="H151" i="1" s="1"/>
  <c r="I151" i="1" s="1"/>
  <c r="G150" i="1"/>
  <c r="H150" i="1" s="1"/>
  <c r="I150" i="1" s="1"/>
  <c r="I149" i="1"/>
  <c r="H149" i="1"/>
  <c r="G149" i="1"/>
  <c r="D149" i="1"/>
  <c r="I148" i="1"/>
  <c r="H148" i="1"/>
  <c r="G148" i="1"/>
  <c r="H147" i="1"/>
  <c r="I147" i="1" s="1"/>
  <c r="G147" i="1"/>
  <c r="G146" i="1"/>
  <c r="H146" i="1" s="1"/>
  <c r="I146" i="1" s="1"/>
  <c r="G145" i="1"/>
  <c r="H145" i="1" s="1"/>
  <c r="I145" i="1" s="1"/>
  <c r="E145" i="1"/>
  <c r="G144" i="1"/>
  <c r="H144" i="1" s="1"/>
  <c r="I144" i="1" s="1"/>
  <c r="I143" i="1"/>
  <c r="H143" i="1"/>
  <c r="G143" i="1"/>
  <c r="H142" i="1"/>
  <c r="I142" i="1" s="1"/>
  <c r="G142" i="1"/>
  <c r="I141" i="1"/>
  <c r="F141" i="1"/>
  <c r="G141" i="1" s="1"/>
  <c r="E141" i="1"/>
  <c r="G140" i="1"/>
  <c r="H140" i="1" s="1"/>
  <c r="I140" i="1" s="1"/>
  <c r="F139" i="1"/>
  <c r="G139" i="1" s="1"/>
  <c r="F138" i="1"/>
  <c r="G138" i="1" s="1"/>
  <c r="H138" i="1" s="1"/>
  <c r="I138" i="1" s="1"/>
  <c r="F135" i="1"/>
  <c r="G135" i="1" s="1"/>
  <c r="G134" i="1"/>
  <c r="F134" i="1"/>
  <c r="G133" i="1"/>
  <c r="E133" i="1"/>
  <c r="C133" i="1"/>
  <c r="G132" i="1"/>
  <c r="E132" i="1"/>
  <c r="C132" i="1"/>
  <c r="G131" i="1"/>
  <c r="F131" i="1"/>
  <c r="G130" i="1"/>
  <c r="G129" i="1"/>
  <c r="G128" i="1"/>
  <c r="F128" i="1"/>
  <c r="G127" i="1"/>
  <c r="G126" i="1"/>
  <c r="E126" i="1"/>
  <c r="G125" i="1"/>
  <c r="E125" i="1"/>
  <c r="G124" i="1"/>
  <c r="E124" i="1"/>
  <c r="E122" i="1" s="1"/>
  <c r="G123" i="1"/>
  <c r="I122" i="1"/>
  <c r="H122" i="1"/>
  <c r="G122" i="1"/>
  <c r="F122" i="1"/>
  <c r="D122" i="1"/>
  <c r="C122" i="1"/>
  <c r="G120" i="1"/>
  <c r="G118" i="1"/>
  <c r="E118" i="1"/>
  <c r="G117" i="1"/>
  <c r="G115" i="1"/>
  <c r="F115" i="1"/>
  <c r="F164" i="1" s="1"/>
  <c r="F114" i="1"/>
  <c r="G114" i="1" s="1"/>
  <c r="G113" i="1"/>
  <c r="F113" i="1"/>
  <c r="F112" i="1"/>
  <c r="G112" i="1" s="1"/>
  <c r="G111" i="1"/>
  <c r="F111" i="1"/>
  <c r="F110" i="1"/>
  <c r="G110" i="1" s="1"/>
  <c r="F109" i="1"/>
  <c r="F97" i="1" s="1"/>
  <c r="F108" i="1"/>
  <c r="G108" i="1" s="1"/>
  <c r="G107" i="1"/>
  <c r="G106" i="1"/>
  <c r="F105" i="1"/>
  <c r="G105" i="1" s="1"/>
  <c r="G104" i="1"/>
  <c r="G103" i="1"/>
  <c r="F102" i="1"/>
  <c r="G102" i="1" s="1"/>
  <c r="E102" i="1"/>
  <c r="F101" i="1"/>
  <c r="G101" i="1" s="1"/>
  <c r="G100" i="1"/>
  <c r="I99" i="1"/>
  <c r="H99" i="1"/>
  <c r="F99" i="1"/>
  <c r="G99" i="1" s="1"/>
  <c r="E99" i="1"/>
  <c r="C99" i="1"/>
  <c r="G98" i="1"/>
  <c r="E98" i="1"/>
  <c r="I97" i="1"/>
  <c r="I160" i="1" s="1"/>
  <c r="I167" i="1" s="1"/>
  <c r="H97" i="1"/>
  <c r="H167" i="1" s="1"/>
  <c r="E97" i="1"/>
  <c r="D97" i="1"/>
  <c r="D160" i="1" s="1"/>
  <c r="D167" i="1" s="1"/>
  <c r="C97" i="1"/>
  <c r="G96" i="1"/>
  <c r="Z77" i="2"/>
  <c r="Y77" i="2"/>
  <c r="X77" i="2"/>
  <c r="W77" i="2"/>
  <c r="V77" i="2"/>
  <c r="U77" i="2"/>
  <c r="I77" i="2"/>
  <c r="Z76" i="2"/>
  <c r="Y76" i="2"/>
  <c r="X76" i="2"/>
  <c r="W76" i="2"/>
  <c r="V76" i="2"/>
  <c r="U76" i="2"/>
  <c r="Z75" i="2"/>
  <c r="Y75" i="2"/>
  <c r="X75" i="2"/>
  <c r="W75" i="2"/>
  <c r="V75" i="2"/>
  <c r="U75" i="2"/>
  <c r="Z63" i="2"/>
  <c r="AB63" i="2"/>
  <c r="Y63" i="2"/>
  <c r="U63" i="2"/>
  <c r="L63" i="2"/>
  <c r="K63" i="2"/>
  <c r="H63" i="2"/>
  <c r="D63" i="2"/>
  <c r="E63" i="2" s="1"/>
  <c r="F63" i="2" s="1"/>
  <c r="AF60" i="2"/>
  <c r="AB60" i="2"/>
  <c r="AC60" i="2" s="1"/>
  <c r="W60" i="2" s="1"/>
  <c r="Z60" i="2"/>
  <c r="Y60" i="2"/>
  <c r="U60" i="2"/>
  <c r="J60" i="2"/>
  <c r="K60" i="2" s="1"/>
  <c r="L60" i="2" s="1"/>
  <c r="M60" i="2" s="1"/>
  <c r="N60" i="2" s="1"/>
  <c r="AF59" i="2"/>
  <c r="AB59" i="2"/>
  <c r="V59" i="2" s="1"/>
  <c r="Z59" i="2"/>
  <c r="Y59" i="2"/>
  <c r="U59" i="2"/>
  <c r="J59" i="2"/>
  <c r="K59" i="2" s="1"/>
  <c r="L59" i="2" s="1"/>
  <c r="M59" i="2" s="1"/>
  <c r="N59" i="2" s="1"/>
  <c r="AB58" i="2"/>
  <c r="AC58" i="2" s="1"/>
  <c r="Z58" i="2"/>
  <c r="Y58" i="2"/>
  <c r="U58" i="2"/>
  <c r="K58" i="2"/>
  <c r="L58" i="2" s="1"/>
  <c r="M58" i="2" s="1"/>
  <c r="N58" i="2" s="1"/>
  <c r="J58" i="2"/>
  <c r="Z54" i="2"/>
  <c r="Y54" i="2"/>
  <c r="X54" i="2"/>
  <c r="W54" i="2"/>
  <c r="V54" i="2"/>
  <c r="U54" i="2"/>
  <c r="Z21" i="2"/>
  <c r="Z20" i="2"/>
  <c r="Z19" i="2"/>
  <c r="Z18" i="2"/>
  <c r="Z17" i="2"/>
  <c r="Z16" i="2"/>
  <c r="Z15" i="2"/>
  <c r="Z14" i="2"/>
  <c r="Z13" i="2"/>
  <c r="Z12" i="2"/>
  <c r="Z11" i="2"/>
  <c r="Z26" i="2"/>
  <c r="Z33" i="2"/>
  <c r="Z32" i="2"/>
  <c r="Z36" i="2"/>
  <c r="Z42" i="2"/>
  <c r="Z46" i="2"/>
  <c r="Z51" i="2"/>
  <c r="Z50" i="2"/>
  <c r="Y50" i="2"/>
  <c r="Y51" i="2"/>
  <c r="X51" i="2"/>
  <c r="W51" i="2"/>
  <c r="V51" i="2"/>
  <c r="U51" i="2"/>
  <c r="X50" i="2"/>
  <c r="W50" i="2"/>
  <c r="V50" i="2"/>
  <c r="U50" i="2"/>
  <c r="K51" i="2"/>
  <c r="J51" i="2"/>
  <c r="I51" i="2"/>
  <c r="K50" i="2"/>
  <c r="J50" i="2"/>
  <c r="I50" i="2"/>
  <c r="F160" i="1" l="1"/>
  <c r="G97" i="1"/>
  <c r="G160" i="1" s="1"/>
  <c r="G167" i="1" s="1"/>
  <c r="G109" i="1"/>
  <c r="E160" i="1"/>
  <c r="E167" i="1" s="1"/>
  <c r="F167" i="1"/>
  <c r="H139" i="1"/>
  <c r="G163" i="1"/>
  <c r="H164" i="1"/>
  <c r="I154" i="1"/>
  <c r="I164" i="1" s="1"/>
  <c r="F163" i="1"/>
  <c r="G164" i="1"/>
  <c r="E159" i="1"/>
  <c r="AC63" i="2"/>
  <c r="V63" i="2"/>
  <c r="V60" i="2"/>
  <c r="V58" i="2"/>
  <c r="W58" i="2"/>
  <c r="AD58" i="2"/>
  <c r="X58" i="2" s="1"/>
  <c r="AC59" i="2"/>
  <c r="AD60" i="2"/>
  <c r="X60" i="2" s="1"/>
  <c r="H163" i="1" l="1"/>
  <c r="I139" i="1"/>
  <c r="I163" i="1" s="1"/>
  <c r="E162" i="1"/>
  <c r="F159" i="1"/>
  <c r="W63" i="2"/>
  <c r="AD63" i="2"/>
  <c r="X63" i="2" s="1"/>
  <c r="AD59" i="2"/>
  <c r="X59" i="2" s="1"/>
  <c r="W59" i="2"/>
  <c r="F162" i="1" l="1"/>
  <c r="G159" i="1"/>
  <c r="G162" i="1" l="1"/>
  <c r="H159" i="1"/>
  <c r="H162" i="1" l="1"/>
  <c r="I159" i="1"/>
  <c r="I162" i="1" s="1"/>
  <c r="Y46" i="2" l="1"/>
  <c r="X46" i="2"/>
  <c r="W46" i="2"/>
  <c r="V46" i="2"/>
  <c r="U46" i="2"/>
  <c r="Y42" i="2"/>
  <c r="X42" i="2"/>
  <c r="W42" i="2"/>
  <c r="V42" i="2"/>
  <c r="U42" i="2"/>
  <c r="J42" i="2"/>
  <c r="K42" i="2" s="1"/>
  <c r="L42" i="2" s="1"/>
  <c r="D42" i="2"/>
  <c r="E42" i="2" s="1"/>
  <c r="F42" i="2" s="1"/>
  <c r="Y36" i="2"/>
  <c r="X36" i="2"/>
  <c r="W36" i="2"/>
  <c r="V36" i="2"/>
  <c r="U36" i="2"/>
  <c r="E36" i="2"/>
  <c r="AB33" i="2"/>
  <c r="AC33" i="2" s="1"/>
  <c r="W33" i="2" s="1"/>
  <c r="U32" i="2"/>
  <c r="Y33" i="2"/>
  <c r="X33" i="2"/>
  <c r="U33" i="2"/>
  <c r="Y32" i="2"/>
  <c r="X32" i="2"/>
  <c r="J33" i="2"/>
  <c r="K33" i="2" s="1"/>
  <c r="J32" i="2"/>
  <c r="K32" i="2" s="1"/>
  <c r="D33" i="2"/>
  <c r="E33" i="2" s="1"/>
  <c r="D32" i="2"/>
  <c r="E32" i="2" s="1"/>
  <c r="AB26" i="2"/>
  <c r="Y26" i="2"/>
  <c r="X26" i="2"/>
  <c r="U26" i="2"/>
  <c r="J26" i="2"/>
  <c r="K26" i="2" s="1"/>
  <c r="D26" i="2"/>
  <c r="E26" i="2" s="1"/>
  <c r="Y21" i="2"/>
  <c r="X21" i="2"/>
  <c r="W21" i="2"/>
  <c r="V21" i="2"/>
  <c r="U21" i="2"/>
  <c r="Y20" i="2"/>
  <c r="X20" i="2"/>
  <c r="W20" i="2"/>
  <c r="V20" i="2"/>
  <c r="U20" i="2"/>
  <c r="Y19" i="2"/>
  <c r="X19" i="2"/>
  <c r="W19" i="2"/>
  <c r="V19" i="2"/>
  <c r="U19" i="2"/>
  <c r="Y18" i="2"/>
  <c r="X18" i="2"/>
  <c r="W18" i="2"/>
  <c r="V18" i="2"/>
  <c r="U18" i="2"/>
  <c r="Y17" i="2"/>
  <c r="X17" i="2"/>
  <c r="W17" i="2"/>
  <c r="V17" i="2"/>
  <c r="U17" i="2"/>
  <c r="Y16" i="2"/>
  <c r="X16" i="2"/>
  <c r="W16" i="2"/>
  <c r="V16" i="2"/>
  <c r="U16" i="2"/>
  <c r="Y15" i="2"/>
  <c r="X15" i="2"/>
  <c r="W15" i="2"/>
  <c r="V15" i="2"/>
  <c r="U15" i="2"/>
  <c r="Y14" i="2"/>
  <c r="X14" i="2"/>
  <c r="W14" i="2"/>
  <c r="V14" i="2"/>
  <c r="U14" i="2"/>
  <c r="Y13" i="2"/>
  <c r="X13" i="2"/>
  <c r="W13" i="2"/>
  <c r="V13" i="2"/>
  <c r="U13" i="2"/>
  <c r="Y12" i="2"/>
  <c r="X12" i="2"/>
  <c r="W12" i="2"/>
  <c r="V12" i="2"/>
  <c r="U12" i="2"/>
  <c r="Y11" i="2"/>
  <c r="X11" i="2"/>
  <c r="W11" i="2"/>
  <c r="V11" i="2"/>
  <c r="U11" i="2"/>
  <c r="V33" i="2" l="1"/>
  <c r="AB32" i="2"/>
  <c r="V26" i="2"/>
  <c r="AC26" i="2"/>
  <c r="W26" i="2" s="1"/>
  <c r="V32" i="2" l="1"/>
  <c r="AC32" i="2"/>
  <c r="W32" i="2" s="1"/>
  <c r="E14" i="12" l="1"/>
  <c r="E13" i="12"/>
  <c r="E12" i="12"/>
  <c r="C42" i="13"/>
  <c r="Y7" i="8" l="1"/>
  <c r="X7" i="8"/>
  <c r="W7" i="8"/>
  <c r="U6" i="8"/>
  <c r="V6" i="8"/>
  <c r="T6" i="8"/>
  <c r="R7" i="8"/>
  <c r="S7" i="8"/>
  <c r="Q7" i="8"/>
  <c r="O6" i="8"/>
  <c r="P6" i="8"/>
  <c r="N6" i="8"/>
  <c r="T6" i="9" l="1"/>
  <c r="Q6" i="9"/>
  <c r="R6" i="9"/>
  <c r="S6" i="9"/>
  <c r="P6" i="9"/>
  <c r="AF6" i="8" l="1"/>
  <c r="E11" i="12" l="1"/>
  <c r="M7" i="8"/>
  <c r="L7" i="8"/>
  <c r="K7" i="8"/>
  <c r="J6" i="8"/>
  <c r="I6" i="8"/>
  <c r="H6" i="8"/>
  <c r="G44" i="13"/>
  <c r="F44" i="13"/>
  <c r="I43" i="13"/>
  <c r="H43" i="13"/>
  <c r="F43" i="13"/>
  <c r="E42" i="13"/>
  <c r="D42" i="13"/>
  <c r="AG6" i="8" l="1"/>
  <c r="AE7" i="8"/>
  <c r="AD7" i="8"/>
  <c r="AC7" i="8"/>
  <c r="AB6" i="8"/>
  <c r="AA6" i="8"/>
  <c r="Z6" i="8"/>
  <c r="O6" i="9"/>
  <c r="N6" i="9"/>
  <c r="M6" i="9"/>
  <c r="L6" i="9"/>
  <c r="K6" i="9"/>
  <c r="J6" i="9"/>
  <c r="H57" i="1"/>
  <c r="I57" i="1" s="1"/>
  <c r="I58" i="1" s="1"/>
</calcChain>
</file>

<file path=xl/sharedStrings.xml><?xml version="1.0" encoding="utf-8"?>
<sst xmlns="http://schemas.openxmlformats.org/spreadsheetml/2006/main" count="785" uniqueCount="368">
  <si>
    <t>в федеральный бюджет</t>
  </si>
  <si>
    <t>в областной бюджет</t>
  </si>
  <si>
    <t>Среднесписочная 
численность работающих (чел.)</t>
  </si>
  <si>
    <t>Выручка от реализации
товаров  (работ, услуг), млн. руб.</t>
  </si>
  <si>
    <t>Индекс промышленного производства</t>
  </si>
  <si>
    <t>Объем инвестиций в основной капитал за счет всех источников -  всего</t>
  </si>
  <si>
    <t>Прочие доходы</t>
  </si>
  <si>
    <t xml:space="preserve">Прочие - всего </t>
  </si>
  <si>
    <t>Наименование показателя</t>
  </si>
  <si>
    <t>Ед. изм.</t>
  </si>
  <si>
    <t>Итоги развития МО</t>
  </si>
  <si>
    <t>млн.руб.</t>
  </si>
  <si>
    <t>в т.ч. по видам экономической деятельности:</t>
  </si>
  <si>
    <t>%</t>
  </si>
  <si>
    <t>руб.</t>
  </si>
  <si>
    <t>Состояние основных видов экономической деятельности хозяйствующих субъектов МО</t>
  </si>
  <si>
    <t>Валовый выпуск продукции  в сельхозорганизациях</t>
  </si>
  <si>
    <t>Строительство</t>
  </si>
  <si>
    <t>Ввод в действие жилых домов</t>
  </si>
  <si>
    <t>кв. м</t>
  </si>
  <si>
    <t>Введено жилья на душу населения</t>
  </si>
  <si>
    <t>Торговля</t>
  </si>
  <si>
    <t xml:space="preserve">Розничный товарооборот </t>
  </si>
  <si>
    <t xml:space="preserve">Индекс физического объема </t>
  </si>
  <si>
    <t>Малый бизнес</t>
  </si>
  <si>
    <t>ед.</t>
  </si>
  <si>
    <t>тыс.чел.</t>
  </si>
  <si>
    <t>тыс. чел.</t>
  </si>
  <si>
    <t>в том числе:</t>
  </si>
  <si>
    <t>Выплаты социального характера</t>
  </si>
  <si>
    <t>Фонд оплаты труда</t>
  </si>
  <si>
    <t>из них:</t>
  </si>
  <si>
    <t>(органы местного самоуправления при необходимости дополняют номенклатуру продукции)</t>
  </si>
  <si>
    <t>Средняя цена за единицу продукции, тыс. рублей</t>
  </si>
  <si>
    <t>А</t>
  </si>
  <si>
    <t>ПРОМЫШЛЕННОЕ ПРОИЗВОДСТВО:</t>
  </si>
  <si>
    <t>т</t>
  </si>
  <si>
    <t>ИТОГО</t>
  </si>
  <si>
    <t>тыс.шт</t>
  </si>
  <si>
    <t>тыс.т</t>
  </si>
  <si>
    <t>зерно</t>
  </si>
  <si>
    <t>картофель</t>
  </si>
  <si>
    <t>овощи</t>
  </si>
  <si>
    <t>мясо</t>
  </si>
  <si>
    <t>молоко</t>
  </si>
  <si>
    <t>яйца</t>
  </si>
  <si>
    <t>Государственное управление и обеспечение военной безопасности; обязательное социальное обеспечение</t>
  </si>
  <si>
    <t>Добыча полезных ископаемых</t>
  </si>
  <si>
    <t>Обрабатывающие производства</t>
  </si>
  <si>
    <t>Транспорт и связь</t>
  </si>
  <si>
    <t>Образование</t>
  </si>
  <si>
    <t>Здравоохранение и предоставление социальных услуг</t>
  </si>
  <si>
    <t>из них по отраслям социальной сферы:</t>
  </si>
  <si>
    <t>Прочие</t>
  </si>
  <si>
    <t>х</t>
  </si>
  <si>
    <t>Наименование элементарного вида деятельности,
 товара-представителя</t>
  </si>
  <si>
    <t>*) сопоставимая цена 1994 г. (рублей за единицу продукции)</t>
  </si>
  <si>
    <t xml:space="preserve">В том числе из общей численности работающих численность работников бюджетной сферы, финансируемой из консолидированного местного бюджета-всего, </t>
  </si>
  <si>
    <t xml:space="preserve">***) В данной форме органы местного самоуправления показывают только ту продукцию, которая производится в муниципальном образовании, остальные наименования товаров удаляются. </t>
  </si>
  <si>
    <t>финансовые показатели</t>
  </si>
  <si>
    <t>социальные показатели</t>
  </si>
  <si>
    <t>Фонд оплаты труда, млн. руб</t>
  </si>
  <si>
    <t>Приложение 1</t>
  </si>
  <si>
    <t>Приложение 2 к прогнозу</t>
  </si>
  <si>
    <t>Приложение 3 к прогнозу</t>
  </si>
  <si>
    <t>Прогноз на:</t>
  </si>
  <si>
    <t>Промышленное производство:</t>
  </si>
  <si>
    <t xml:space="preserve"> в том числе по видам экономической деятельности:</t>
  </si>
  <si>
    <t>Индекс промышленного производства - всего***:</t>
  </si>
  <si>
    <t xml:space="preserve">Расчет индексов производства продукции
по элементарному виду деятельности,  исходя из динамики по товарам-представителям
</t>
  </si>
  <si>
    <t>Прибыль (убыток) до налогообложения, 
млн. руб.</t>
  </si>
  <si>
    <t>Произведено продукции в натуральном выражении</t>
  </si>
  <si>
    <t>Среднемесячная заработная плата, руб</t>
  </si>
  <si>
    <t>№ п/п</t>
  </si>
  <si>
    <t>Число действующих микропредприятий - всего</t>
  </si>
  <si>
    <t>Среднемесячная начисленная заработная плата работников малых предприятий (с учетом микропредприятий)</t>
  </si>
  <si>
    <t>Уд. вес выручки предприятий малого бизнеса (с учетом микропредприятий) в выручке  в целом по МО</t>
  </si>
  <si>
    <t xml:space="preserve">В том числе из общей численности работающих численность работников малых предприятий (с учетом микропредприятий)-всего, </t>
  </si>
  <si>
    <t>Среднесписочная численность работников (без внешних совместителей) по полному кругу организаций,</t>
  </si>
  <si>
    <t xml:space="preserve">Фонд начисленной заработной платы по полному кругу организаций, </t>
  </si>
  <si>
    <t>Фонд начисленной заработной платы работников малых предприятий (с учетом микропредприятий)</t>
  </si>
  <si>
    <t>Среднемесячная начисленная заработная плата (без выплат социального характера) по полному кругу организаций,</t>
  </si>
  <si>
    <t xml:space="preserve">Выручка от реализации продукции, работ, услуг (в действующих ценах) по полному кругу организаций, </t>
  </si>
  <si>
    <t xml:space="preserve">Выручка от реализации продукции, работ, услуг (в действующих ценах) предприятий малого бизнеса (с учетом микропредприятий) </t>
  </si>
  <si>
    <t>Уд. вес выручки предприятий микропредприятий в выручке  в целом по МО</t>
  </si>
  <si>
    <t>Фонд начисленной заработной платы работников сельского хозяйства</t>
  </si>
  <si>
    <t>Наименование проекта</t>
  </si>
  <si>
    <t>Инвестор</t>
  </si>
  <si>
    <t>Выручка от реализации продукции, работ, услуг, млн.руб.</t>
  </si>
  <si>
    <t>Приложение 4.</t>
  </si>
  <si>
    <t xml:space="preserve">Показатели социально-экономического развития базовых предприятий </t>
  </si>
  <si>
    <t xml:space="preserve">(предоставляется отдельно по каждому предприятию) </t>
  </si>
  <si>
    <t>________________________________________________________________________________________</t>
  </si>
  <si>
    <t>(наименование предприятия)</t>
  </si>
  <si>
    <t xml:space="preserve">Показатели </t>
  </si>
  <si>
    <t>Ед. измер.</t>
  </si>
  <si>
    <t>прогноз на:</t>
  </si>
  <si>
    <t xml:space="preserve">Среднегод. стоим. ОФ по остат. стоимости </t>
  </si>
  <si>
    <t>тыс. руб.</t>
  </si>
  <si>
    <t>Инвестиции в основной капитал</t>
  </si>
  <si>
    <t>Выручка от реализации товаров (работ, услуг)</t>
  </si>
  <si>
    <t>Удельный вес экспорта в объеме реализации</t>
  </si>
  <si>
    <t>Прибыль (убыток) до налогообложения</t>
  </si>
  <si>
    <t>Объем затрат на производство и реализацию продукции (работ, услуг)</t>
  </si>
  <si>
    <t>Затраты на рубль реализованной  продукции</t>
  </si>
  <si>
    <t>Удельный вес в затратах на производство и реализацию продукции (услуг) на:</t>
  </si>
  <si>
    <t xml:space="preserve">  - электрическую энергию</t>
  </si>
  <si>
    <t xml:space="preserve">  - тепловую энергию</t>
  </si>
  <si>
    <t xml:space="preserve">  - топливо</t>
  </si>
  <si>
    <t xml:space="preserve">  - ж/д перевозки</t>
  </si>
  <si>
    <t>Налоги и платежи в бюджеты всех уровней</t>
  </si>
  <si>
    <t xml:space="preserve">  - начисленные</t>
  </si>
  <si>
    <t xml:space="preserve">  - уплаченные</t>
  </si>
  <si>
    <t xml:space="preserve"> в том числе в консолидированный бюджет области:</t>
  </si>
  <si>
    <t>Задолженность по платежам в бюджеты всех уровней (на конец года) - всего,</t>
  </si>
  <si>
    <t>в том числе</t>
  </si>
  <si>
    <t>в консолидированный местный бюджет</t>
  </si>
  <si>
    <t>Среднесписочная численность работающих</t>
  </si>
  <si>
    <t>чел.</t>
  </si>
  <si>
    <t>Задолженность по заработной плате на конец года</t>
  </si>
  <si>
    <t>Выпуск основных видов продукции:</t>
  </si>
  <si>
    <t>в натур. выраж.</t>
  </si>
  <si>
    <t>Подпись руководителя предприятия</t>
  </si>
  <si>
    <r>
      <t xml:space="preserve">Загруженность мощностей                                                                      </t>
    </r>
    <r>
      <rPr>
        <sz val="12"/>
        <rFont val="Times New Roman"/>
        <family val="1"/>
        <charset val="204"/>
      </rPr>
      <t>(средняя или по основной номенклатуре)</t>
    </r>
  </si>
  <si>
    <r>
      <t xml:space="preserve">Износ машин и оборудования                                                                   </t>
    </r>
    <r>
      <rPr>
        <sz val="12"/>
        <rFont val="Times New Roman"/>
        <family val="1"/>
        <charset val="204"/>
      </rPr>
      <t>(активной части ОФ)</t>
    </r>
  </si>
  <si>
    <t>Количество создаваемых новых рабочих мест</t>
  </si>
  <si>
    <t xml:space="preserve">Выпуск продукции в натуральном выражении
 (в соотв. ед.) 
</t>
  </si>
  <si>
    <t>Количество ежегодно создаваемых новых рабочих мест, ед.</t>
  </si>
  <si>
    <t>Наименование 
городского (сельского) поселения и населенного пункта на территории которого предполагается реализация инвестпроекта</t>
  </si>
  <si>
    <t>и т.д.</t>
  </si>
  <si>
    <t>продукция 
№ 1</t>
  </si>
  <si>
    <t>продукция 
№ 2</t>
  </si>
  <si>
    <t>продукция № 3</t>
  </si>
  <si>
    <t>Проект 1</t>
  </si>
  <si>
    <t xml:space="preserve">Период реализации проекта </t>
  </si>
  <si>
    <t>Экономи-
ческий эффект (прибыль), млн. руб.</t>
  </si>
  <si>
    <t xml:space="preserve">Демография, трудовые ресурсы и уровень жизни населения </t>
  </si>
  <si>
    <t>Численность постоянного населения - всего</t>
  </si>
  <si>
    <t>Приложение 6 к прогнозу</t>
  </si>
  <si>
    <t>Уровень регистрируемой безработицы (к трудоспособному населению)</t>
  </si>
  <si>
    <t>Фонд начисленной заработной платы работников бюджетной сферы</t>
  </si>
  <si>
    <t>Период реализации</t>
  </si>
  <si>
    <t>Объем инвестиций, млн. руб.</t>
  </si>
  <si>
    <t>Выручка от реализации продукции, работ, услуг, млн. руб.</t>
  </si>
  <si>
    <t>продукция №1</t>
  </si>
  <si>
    <t>продукция №2</t>
  </si>
  <si>
    <t>Выпуск продукции в натуральном выражении (в соотв. ед.)</t>
  </si>
  <si>
    <t>Экономи-ческий эффект (прибыль), млн. руб.</t>
  </si>
  <si>
    <t>Проект 2</t>
  </si>
  <si>
    <t>…</t>
  </si>
  <si>
    <t>Прибыль прибыльных предприятий (с учетом предприятий малого бизнеса)</t>
  </si>
  <si>
    <t>Наименование поселения</t>
  </si>
  <si>
    <t>Фонд оплаты труда, млн. руб.</t>
  </si>
  <si>
    <t>Среднесписочная численность работающих, чел.</t>
  </si>
  <si>
    <t>Выручка от реализации товаров (работ, услуг), млн. руб.</t>
  </si>
  <si>
    <t>* В целом по муниципальному району заполняется сумма показателей по городским и сельским поселениям. Значение каждого показателя в целом по району должны соответствовать значению показателя указанному в сводной форме "Прогноза".</t>
  </si>
  <si>
    <t>ИТОГО по району*</t>
  </si>
  <si>
    <t>Индивидуальные предприниматели</t>
  </si>
  <si>
    <t>Малые предприятия</t>
  </si>
  <si>
    <t>Микропредприятия</t>
  </si>
  <si>
    <t>Валовый совокупный доход (сумма ФОТ, выплат соцхарактера, прочих доходов)</t>
  </si>
  <si>
    <t>Земельный налог</t>
  </si>
  <si>
    <t>Налог на имущество физических лиц</t>
  </si>
  <si>
    <t>Налог, взимаемый в связи с применением патентной системы налогообложения</t>
  </si>
  <si>
    <t>1. Налог на доходы физических лиц</t>
  </si>
  <si>
    <t>2. Налоги на имущество:</t>
  </si>
  <si>
    <t>Доходный потенциал (объем налогов, формируемых на территории) - всего:</t>
  </si>
  <si>
    <t>Наименование проекта и населенного пункта, где планируется реализация проекта</t>
  </si>
  <si>
    <t>Число безработных граждан, чел.</t>
  </si>
  <si>
    <t>Количество субъектов малого и среднего предпринимательства (ед.):</t>
  </si>
  <si>
    <t>Доходный потенциал территориии</t>
  </si>
  <si>
    <t>3. Налоги со специальным режимом:</t>
  </si>
  <si>
    <t>ВСЕГО ПО ПОСЕЛЕНИЮ</t>
  </si>
  <si>
    <t>ИТОГО ПО РАЙОНУ</t>
  </si>
  <si>
    <t>Потенциал поступлений земельного налога</t>
  </si>
  <si>
    <t>из них по категориям работников:</t>
  </si>
  <si>
    <t>кадастровая стоимость земельных участков,
 признаваемых объектом налогообложения-всего</t>
  </si>
  <si>
    <t>Общая инвентаризационная стоимость объектов налогообложения</t>
  </si>
  <si>
    <t>Число предприятий, зарегистрированных на территории МО - всего, 
ед.</t>
  </si>
  <si>
    <t>в том числе по видам деятельности:</t>
  </si>
  <si>
    <t>Число муниципальных учреждений, ед.</t>
  </si>
  <si>
    <t>Наименование населенного пункта, где осуществляет деятельность предприятие</t>
  </si>
  <si>
    <t xml:space="preserve">Дошкольное образование </t>
  </si>
  <si>
    <t>Основное общее и среднее (полное) общее образование</t>
  </si>
  <si>
    <t>Дополнительное образование детей</t>
  </si>
  <si>
    <t>Деятельность в области спорта</t>
  </si>
  <si>
    <t>Прочая деятельность в области культуры</t>
  </si>
  <si>
    <t>наименование и местоположение предприятия  (по месту регистрации)</t>
  </si>
  <si>
    <t>численность работников, чел.</t>
  </si>
  <si>
    <t>Сельское 
хозяйство</t>
  </si>
  <si>
    <t>Промыш-
ленность</t>
  </si>
  <si>
    <t>Лесо-
заготовки</t>
  </si>
  <si>
    <t>Строи-
тельство</t>
  </si>
  <si>
    <r>
      <t>Основные сведения 
о градообразующем предприятии
(</t>
    </r>
    <r>
      <rPr>
        <b/>
        <sz val="14"/>
        <rFont val="Times New Roman"/>
        <family val="1"/>
        <charset val="204"/>
      </rPr>
      <t>КРИТЕРИИ</t>
    </r>
    <r>
      <rPr>
        <sz val="14"/>
        <rFont val="Times New Roman"/>
        <family val="1"/>
        <charset val="204"/>
      </rPr>
      <t xml:space="preserve"> установлены ст. 169 ФЗ №127 
"О несостоятельности (банкротстве)": численность работников организаций свыше 5 тыс. чел. либо составляет не менее 25% численности работающего населения соответствующего населенного пункта)</t>
    </r>
  </si>
  <si>
    <t>Прогноз индекса производства</t>
  </si>
  <si>
    <t xml:space="preserve">Сельское, лесное хозяйство, охота, рыбаловство и рыбоводство, в том числе 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</si>
  <si>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</si>
  <si>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</si>
  <si>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</si>
  <si>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</si>
  <si>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</si>
  <si>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Торговля оптовая и розничная; ремонт автотранспортных средств и мотоциклов </t>
  </si>
  <si>
    <t xml:space="preserve">Промышленное производство: </t>
  </si>
  <si>
    <t>Объем отгруженных товаров собственного производства, выполненных работ и услуг (В+C+D+E)</t>
  </si>
  <si>
    <t>Добыча полезных ископаемых (В):</t>
  </si>
  <si>
    <t xml:space="preserve">Объем отгруженных товаров собственного производства, выполненных работ и услуг </t>
  </si>
  <si>
    <t>Обрабатывающие производства (С):</t>
  </si>
  <si>
    <t>Обеспечение электрической энергией, газом и паром; кондиционирование воздуха (D):</t>
  </si>
  <si>
    <t>Объем отгруженных товаров собственного производства, выполненных работ и услуг</t>
  </si>
  <si>
    <t>Водоснабжение; водоотведение, организация сбора и утилизации отходов, деятельность по ликвидации загрязнений  (Е):</t>
  </si>
  <si>
    <t>Сельское, лесное хозяйство, охота, рыбаловство и рыбоводство:</t>
  </si>
  <si>
    <t>Индекс производства продукции в сельхозорганизациях</t>
  </si>
  <si>
    <t>Строительство:</t>
  </si>
  <si>
    <t>Объем работ</t>
  </si>
  <si>
    <t>Транспортировка и хранение:</t>
  </si>
  <si>
    <t>Грузооборот</t>
  </si>
  <si>
    <t>тыс.т/км</t>
  </si>
  <si>
    <t>Пассажирооборот</t>
  </si>
  <si>
    <t>тыс. пас/км</t>
  </si>
  <si>
    <t>Торговля оптовая и розничная; ремонт автотранспортных средств и мотоциклов</t>
  </si>
  <si>
    <t>Число действующих малых предприятий - всего</t>
  </si>
  <si>
    <t>Сельское, лесное хозяйство, охота, рыбаловство и рыбоводство (А) - всего, 
в том числе:</t>
  </si>
  <si>
    <t>Растениеводство и животноводство, охота и предоставление соответствующих услуг в этих областях - всего</t>
  </si>
  <si>
    <t>в том числе предприятия:</t>
  </si>
  <si>
    <t>Лесоводство и лесозаготовки - всего</t>
  </si>
  <si>
    <t>Добыча полезных ископаемых - всего (В)</t>
  </si>
  <si>
    <t>Добыча угля - всего</t>
  </si>
  <si>
    <t>Добыча прочих полезных ископаемых - всего</t>
  </si>
  <si>
    <t>Обрабатывающие производства, всего (С)</t>
  </si>
  <si>
    <t>Производство пищевых продуктов - всего</t>
  </si>
  <si>
    <t>Деятельность полиграфическая и копирование носителей информации - всего</t>
  </si>
  <si>
    <t>Торговля оптовая и розничная; ремонт автотранспортных средств и мотоциклов (G) - всего</t>
  </si>
  <si>
    <t>Транспортировка и хранение (H)- всего</t>
  </si>
  <si>
    <t>Деятельность гостиниц и предприятий общественного питания (I)- всего</t>
  </si>
  <si>
    <t>Деятельность в области информации и связи (J) - всего</t>
  </si>
  <si>
    <t>ВСЕГО по муниципальному образованию</t>
  </si>
  <si>
    <t>Добыча угля</t>
  </si>
  <si>
    <t>Уголь, за исключением антрацита, угля коксующегося и угля бурого,тыс.т</t>
  </si>
  <si>
    <t>Добыча прочих полезных ископаемых</t>
  </si>
  <si>
    <t>Транспортировка и хранение</t>
  </si>
  <si>
    <t>Деятельность в области информации и связи</t>
  </si>
  <si>
    <t>Деятельность в области спорта, отдыха и развлечений</t>
  </si>
  <si>
    <t>Производство пищевых продуктов</t>
  </si>
  <si>
    <t>Изделия хлебобулочные недлительного хранения,т</t>
  </si>
  <si>
    <t>Изделия мучные кондитерские, торты и пирожные недлительного хранения,т</t>
  </si>
  <si>
    <t>млн. шт.</t>
  </si>
  <si>
    <t>Обеспечение электрической энергией, газом и паром; кондиционирование воздуха (раздел D)</t>
  </si>
  <si>
    <t xml:space="preserve"> Добыча полезных ископаемых (Раздел В)</t>
  </si>
  <si>
    <t xml:space="preserve"> Обрабатывающие производства (Раздел  С)</t>
  </si>
  <si>
    <t>Энергия тепловая, отпущенная котельными,Тысяча гигакалорий</t>
  </si>
  <si>
    <t>Тысяча гигакалорий</t>
  </si>
  <si>
    <t>тыс плотн м3</t>
  </si>
  <si>
    <t>Итого по промышленному производству (сумма разделов  В+C+D)</t>
  </si>
  <si>
    <t>Растениеводство и животноводство</t>
  </si>
  <si>
    <t>Деятельность в области культуры, спорта, организации досуга и развлечений, в том числе:</t>
  </si>
  <si>
    <t>**) индекс производства продукции расчитывается по разделам видов экономической деятельности и в целом по промышленности, лесозаготовкам, с/х</t>
  </si>
  <si>
    <t>Объем отгруженных товаров собственного производства, выполненных работ и услуг собственными силами (В+С+D+E):</t>
  </si>
  <si>
    <t xml:space="preserve">Сельское, лесное хозяйство, охота, рыболовство и рыбоводство, в том числе </t>
  </si>
  <si>
    <t>Индекс промышленного производства (В+C+D+E)</t>
  </si>
  <si>
    <t>2022 г.</t>
  </si>
  <si>
    <t>17 =
итог гр.10/
итог гр.9
* 100</t>
  </si>
  <si>
    <t>18 =
итог гр.11/
итог гр.10
* 100</t>
  </si>
  <si>
    <t>19 =
итог гр.12/
итог гр.11
* 100</t>
  </si>
  <si>
    <t>20 =
итог гр.13/
итог гр.12
* 100</t>
  </si>
  <si>
    <t>21 =
итог гр.14/
итог гр.13
* 100</t>
  </si>
  <si>
    <t>2023 г.</t>
  </si>
  <si>
    <t>2024 г.</t>
  </si>
  <si>
    <t>2025 год</t>
  </si>
  <si>
    <t>1 вариант (КОНСЕРВАТИВНЫЙ)</t>
  </si>
  <si>
    <t>2 вариант -(БАЗОВЫЙ)</t>
  </si>
  <si>
    <t xml:space="preserve">1 вариант (КОНСЕРВАТИВНЫЙ) </t>
  </si>
  <si>
    <t xml:space="preserve">2 вариант (БАЗОВЫЙ) </t>
  </si>
  <si>
    <t>2025 г.</t>
  </si>
  <si>
    <t>Факт 
2022 г.</t>
  </si>
  <si>
    <t>2026 г.</t>
  </si>
  <si>
    <t>Факт 
2022 года</t>
  </si>
  <si>
    <t>2026 год</t>
  </si>
  <si>
    <t>факт 2022</t>
  </si>
  <si>
    <t xml:space="preserve">Среднемесячная начисленная заработная плата работников бюджетной сферы, финансируемой из консолидированного местного бюджета - всего </t>
  </si>
  <si>
    <t>Объем произведенной продукции в сопоставимых ценах, тыс. рублей</t>
  </si>
  <si>
    <t>Доходы бюджета, тыс. руб.</t>
  </si>
  <si>
    <t>Расходы бюджета, тыс. руб.</t>
  </si>
  <si>
    <t xml:space="preserve">Объем инвестиций, 
млн.руб. </t>
  </si>
  <si>
    <t>Источники и механизмы финансирования проекта</t>
  </si>
  <si>
    <t>Форма прогноза 
до 2027 г.</t>
  </si>
  <si>
    <t>Факт 
2023 года</t>
  </si>
  <si>
    <t>Оценка 
2024 года</t>
  </si>
  <si>
    <t>2027 год</t>
  </si>
  <si>
    <t>Оценка 
2024 г.</t>
  </si>
  <si>
    <t>Факт 
2023 г.</t>
  </si>
  <si>
    <t>Прогноз на 2025-2027 гг.</t>
  </si>
  <si>
    <t>2027 г.</t>
  </si>
  <si>
    <t>факт 2023</t>
  </si>
  <si>
    <t>оценка 2024</t>
  </si>
  <si>
    <t>Перечень инвестиционных проектов, реализация которых предполагается в 2025-2027 гг.</t>
  </si>
  <si>
    <t>Всего за 2025-2027 гг., 
в т.ч. по годам:</t>
  </si>
  <si>
    <t>Отдельные показатели прогноза развития муниципальных образований поселенческого уровня на 2025-2027 годы*</t>
  </si>
  <si>
    <t>Оценка 2024 г.</t>
  </si>
  <si>
    <t>Сводный перечень инвестиционных проектов, реализация которых предполагается в 2025-2027 гг. 
___________________________________________________________________
(наименование муниципального района, городского округа)</t>
  </si>
  <si>
    <t>Прогноз предоставляется 
до 20 июня  2024 года</t>
  </si>
  <si>
    <t>Количество индивидуальных предпринимателей - всего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</si>
  <si>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</si>
  <si>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</si>
  <si>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Прогноз социально-экономического развитя муниципального образования "Заларинский район"  на 2025-2027 гг.</t>
  </si>
  <si>
    <t>СПК "Тыретский"</t>
  </si>
  <si>
    <t>с. Ханжиново</t>
  </si>
  <si>
    <t>ООО "Рекорд"</t>
  </si>
  <si>
    <t>р.п. Залари</t>
  </si>
  <si>
    <t>ООО Забайкальский Агрохолдинг</t>
  </si>
  <si>
    <t>ССППК "Татьяна"</t>
  </si>
  <si>
    <t>с. Холмогой</t>
  </si>
  <si>
    <t>ССПК "Аида"</t>
  </si>
  <si>
    <t>с. Сорты</t>
  </si>
  <si>
    <t>ИП глава КФХ Ванеев В.В.</t>
  </si>
  <si>
    <t>с. Семеновск</t>
  </si>
  <si>
    <t>ИП глава КФХ Шильников А.Н.</t>
  </si>
  <si>
    <t>д. Красное Поле</t>
  </si>
  <si>
    <t>ИП глава КФХ Гусаров Е.Н.</t>
  </si>
  <si>
    <t>д. Тагна</t>
  </si>
  <si>
    <t>ИП глава КФХ Хартова Д.А.</t>
  </si>
  <si>
    <t>р.п. Тыреть</t>
  </si>
  <si>
    <t>ИП глава КФХ Распутин А.В.</t>
  </si>
  <si>
    <t>ИП глава КФХ Саверская Л.В.</t>
  </si>
  <si>
    <t>с. Мойган</t>
  </si>
  <si>
    <t>Южного лесопожарного объедения Заларинский филиал</t>
  </si>
  <si>
    <t>ООО "Тарасовский уголь"</t>
  </si>
  <si>
    <t>с. Веренка</t>
  </si>
  <si>
    <t>ООО "Каратаевский карьер"</t>
  </si>
  <si>
    <t>ОАО "Тыретский солерудник"</t>
  </si>
  <si>
    <t>ООО "Весна"</t>
  </si>
  <si>
    <t>ООО "Сельская новь"</t>
  </si>
  <si>
    <t>ООО "Тыретские инженерные сети"</t>
  </si>
  <si>
    <t>ООО "СибТеплоСервис"</t>
  </si>
  <si>
    <t>ООО "Акватроника"</t>
  </si>
  <si>
    <t>Заларинское ПОСПО</t>
  </si>
  <si>
    <t>ИП Загруш С.Г.  ООО "Спутник"</t>
  </si>
  <si>
    <t>Заларинский ТПК</t>
  </si>
  <si>
    <t xml:space="preserve"> ОАО "Дорожная служба Иркутской области филиал "Заларинский </t>
  </si>
  <si>
    <t>ООО "Белые россы"</t>
  </si>
  <si>
    <t>МАУ "Культура-Сервис"</t>
  </si>
  <si>
    <t>ООО УК "Тыретская"</t>
  </si>
  <si>
    <t>ООО УК "Гарант"</t>
  </si>
  <si>
    <t xml:space="preserve"> </t>
  </si>
  <si>
    <t>Соль поваренная (добыча)</t>
  </si>
  <si>
    <t>Печатание газет</t>
  </si>
  <si>
    <t>Газеты (экземпляров, тираж условный /в 4-х полосном исчислении формата А2/)</t>
  </si>
  <si>
    <t>Вывозка древесины - всего</t>
  </si>
  <si>
    <t>Заларинское муниципальное образование</t>
  </si>
  <si>
    <t>Тыретское муниципальное образование</t>
  </si>
  <si>
    <t>Бажирское муниципальное образование</t>
  </si>
  <si>
    <t>Бабагайское муниципальное образование</t>
  </si>
  <si>
    <t>Владимирское муниципальное образование</t>
  </si>
  <si>
    <t>Веренское муниципальное образование</t>
  </si>
  <si>
    <t>Муницпальное образование "Моисеевское сельское поселение"</t>
  </si>
  <si>
    <t>Мойганское муниципальное образование</t>
  </si>
  <si>
    <t>Новочеремховское муниципальное образование</t>
  </si>
  <si>
    <t>Семеновское муниципальное образование</t>
  </si>
  <si>
    <t>Троицкое муниципальное образование</t>
  </si>
  <si>
    <t>Ханжиновское муниципальное образование</t>
  </si>
  <si>
    <t>Хор-Тагнинское муниципальное образование</t>
  </si>
  <si>
    <t>Муниципальное образование "Холмогойское сельское поселение"</t>
  </si>
  <si>
    <t>Черемшанское муниципальное образование</t>
  </si>
  <si>
    <t>ОАО "Тыретский солерудник", р.п. Тыреть , м-он Солерудник</t>
  </si>
  <si>
    <t>Заларинское МО</t>
  </si>
  <si>
    <t>ООО "Забайкальский Агрохолдинг"</t>
  </si>
  <si>
    <t>Всего за 2022-2024 гг., 
в т.ч. по годам:</t>
  </si>
  <si>
    <t>Собственные, субсидии и заемные</t>
  </si>
  <si>
    <t>Строительство маслозавода (вторая очередь)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</si>
</sst>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0.000"/>
    <numFmt numFmtId="166" formatCode="_-* #,##0.0_р_._-;\-* #,##0.0_р_._-;_-* &quot;-&quot;??_р_._-;_-@_-"/>
    <numFmt numFmtId="167" formatCode="#,##0.0"/>
    <numFmt numFmtId="168" formatCode="_-* #,##0_р_._-;\-* #,##0_р_._-;_-* &quot;-&quot;??_р_._-;_-@_-"/>
  </numFmts>
  <fonts count="50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  <charset val="204"/>
    </font>
    <font>
      <b/>
      <u/>
      <sz val="14"/>
      <name val="Times New Roman"/>
      <family val="1"/>
    </font>
    <font>
      <u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b/>
      <sz val="22"/>
      <name val="Arial Cyr"/>
      <family val="2"/>
      <charset val="204"/>
    </font>
    <font>
      <b/>
      <sz val="16"/>
      <name val="Arial Cyr"/>
      <family val="2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u/>
      <sz val="14"/>
      <name val="Times New Roman"/>
      <family val="1"/>
      <charset val="204"/>
    </font>
    <font>
      <b/>
      <sz val="16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Arial Cyr"/>
      <charset val="204"/>
    </font>
    <font>
      <i/>
      <sz val="12"/>
      <name val="Times New Roman"/>
      <family val="1"/>
      <charset val="204"/>
    </font>
    <font>
      <b/>
      <sz val="20"/>
      <name val="Times New Roman"/>
      <family val="1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23"/>
      </bottom>
      <diagonal/>
    </border>
    <border>
      <left style="thin">
        <color indexed="64"/>
      </left>
      <right/>
      <top style="dashed">
        <color indexed="23"/>
      </top>
      <bottom style="dashed">
        <color indexed="23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thin">
        <color indexed="64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thin">
        <color indexed="23"/>
      </right>
      <top/>
      <bottom style="dashed">
        <color indexed="55"/>
      </bottom>
      <diagonal/>
    </border>
    <border>
      <left style="thin">
        <color indexed="64"/>
      </left>
      <right style="thin">
        <color indexed="23"/>
      </right>
      <top style="dashed">
        <color indexed="55"/>
      </top>
      <bottom style="dashed">
        <color indexed="55"/>
      </bottom>
      <diagonal/>
    </border>
    <border>
      <left style="thin">
        <color indexed="23"/>
      </left>
      <right style="thin">
        <color indexed="23"/>
      </right>
      <top style="dashed">
        <color indexed="55"/>
      </top>
      <bottom style="dashed">
        <color indexed="55"/>
      </bottom>
      <diagonal/>
    </border>
    <border>
      <left style="thin">
        <color indexed="23"/>
      </left>
      <right style="thin">
        <color indexed="64"/>
      </right>
      <top style="dashed">
        <color indexed="55"/>
      </top>
      <bottom style="dashed">
        <color indexed="55"/>
      </bottom>
      <diagonal/>
    </border>
    <border>
      <left style="thin">
        <color indexed="64"/>
      </left>
      <right style="thin">
        <color indexed="23"/>
      </right>
      <top style="dashed">
        <color indexed="55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ashed">
        <color indexed="55"/>
      </top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dashed">
        <color indexed="55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23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dashed">
        <color indexed="55"/>
      </bottom>
      <diagonal/>
    </border>
    <border>
      <left style="medium">
        <color indexed="64"/>
      </left>
      <right style="thin">
        <color indexed="23"/>
      </right>
      <top style="dashed">
        <color indexed="55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dashed">
        <color indexed="55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55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medium">
        <color indexed="64"/>
      </left>
      <right style="thin">
        <color indexed="23"/>
      </right>
      <top/>
      <bottom/>
      <diagonal/>
    </border>
    <border>
      <left style="medium">
        <color indexed="64"/>
      </left>
      <right style="thin">
        <color indexed="23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/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 style="thin">
        <color indexed="23"/>
      </right>
      <top/>
      <bottom/>
      <diagonal/>
    </border>
    <border>
      <left style="thin">
        <color indexed="64"/>
      </left>
      <right style="thin">
        <color indexed="2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1" fillId="0" borderId="0" applyFont="0" applyFill="0" applyBorder="0" applyAlignment="0" applyProtection="0"/>
  </cellStyleXfs>
  <cellXfs count="525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3" fillId="0" borderId="0" xfId="0" applyFont="1"/>
    <xf numFmtId="0" fontId="22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center"/>
    </xf>
    <xf numFmtId="0" fontId="23" fillId="0" borderId="2" xfId="0" applyFont="1" applyBorder="1"/>
    <xf numFmtId="0" fontId="20" fillId="0" borderId="3" xfId="0" applyFont="1" applyBorder="1" applyAlignment="1">
      <alignment horizontal="center"/>
    </xf>
    <xf numFmtId="0" fontId="20" fillId="0" borderId="3" xfId="0" applyFont="1" applyBorder="1" applyAlignment="1">
      <alignment horizontal="center" wrapText="1"/>
    </xf>
    <xf numFmtId="0" fontId="23" fillId="0" borderId="3" xfId="0" applyFont="1" applyBorder="1"/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wrapText="1"/>
    </xf>
    <xf numFmtId="0" fontId="20" fillId="0" borderId="4" xfId="0" applyFont="1" applyBorder="1" applyAlignment="1">
      <alignment horizontal="center"/>
    </xf>
    <xf numFmtId="0" fontId="23" fillId="0" borderId="4" xfId="0" applyFont="1" applyBorder="1"/>
    <xf numFmtId="0" fontId="20" fillId="0" borderId="3" xfId="0" applyFont="1" applyFill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3" fillId="0" borderId="5" xfId="0" applyFont="1" applyBorder="1"/>
    <xf numFmtId="0" fontId="20" fillId="0" borderId="2" xfId="0" applyFont="1" applyBorder="1" applyAlignment="1">
      <alignment vertical="center" wrapText="1"/>
    </xf>
    <xf numFmtId="0" fontId="20" fillId="0" borderId="2" xfId="0" applyFont="1" applyBorder="1"/>
    <xf numFmtId="0" fontId="20" fillId="0" borderId="3" xfId="0" applyFont="1" applyBorder="1" applyAlignment="1">
      <alignment vertical="center" wrapText="1"/>
    </xf>
    <xf numFmtId="0" fontId="20" fillId="0" borderId="3" xfId="0" applyFont="1" applyBorder="1"/>
    <xf numFmtId="0" fontId="24" fillId="0" borderId="0" xfId="0" applyFont="1"/>
    <xf numFmtId="0" fontId="25" fillId="0" borderId="0" xfId="0" applyFont="1"/>
    <xf numFmtId="0" fontId="17" fillId="0" borderId="0" xfId="0" applyFont="1"/>
    <xf numFmtId="0" fontId="20" fillId="0" borderId="0" xfId="0" applyFont="1" applyBorder="1" applyAlignment="1">
      <alignment horizontal="center"/>
    </xf>
    <xf numFmtId="0" fontId="23" fillId="0" borderId="0" xfId="0" applyFont="1" applyBorder="1"/>
    <xf numFmtId="0" fontId="24" fillId="0" borderId="0" xfId="0" applyFont="1" applyFill="1"/>
    <xf numFmtId="0" fontId="23" fillId="2" borderId="2" xfId="0" applyFont="1" applyFill="1" applyBorder="1"/>
    <xf numFmtId="0" fontId="23" fillId="2" borderId="4" xfId="0" applyFont="1" applyFill="1" applyBorder="1"/>
    <xf numFmtId="0" fontId="22" fillId="0" borderId="6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1" fillId="0" borderId="5" xfId="0" applyFont="1" applyBorder="1" applyAlignment="1">
      <alignment vertical="center" wrapText="1"/>
    </xf>
    <xf numFmtId="0" fontId="21" fillId="0" borderId="7" xfId="0" applyFont="1" applyBorder="1" applyAlignment="1">
      <alignment wrapText="1"/>
    </xf>
    <xf numFmtId="0" fontId="20" fillId="0" borderId="8" xfId="0" applyFont="1" applyBorder="1"/>
    <xf numFmtId="0" fontId="20" fillId="0" borderId="9" xfId="0" applyFont="1" applyBorder="1"/>
    <xf numFmtId="0" fontId="23" fillId="0" borderId="9" xfId="0" applyFont="1" applyBorder="1"/>
    <xf numFmtId="0" fontId="20" fillId="0" borderId="3" xfId="0" applyFont="1" applyFill="1" applyBorder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8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/>
    </xf>
    <xf numFmtId="0" fontId="13" fillId="0" borderId="11" xfId="0" applyFont="1" applyFill="1" applyBorder="1" applyAlignment="1">
      <alignment vertical="center"/>
    </xf>
    <xf numFmtId="0" fontId="13" fillId="0" borderId="1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0" fillId="0" borderId="0" xfId="0" applyFill="1"/>
    <xf numFmtId="0" fontId="16" fillId="0" borderId="0" xfId="0" applyFont="1" applyFill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wrapText="1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right" wrapText="1"/>
    </xf>
    <xf numFmtId="0" fontId="7" fillId="0" borderId="10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justify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0" xfId="0" applyFont="1" applyBorder="1" applyAlignment="1">
      <alignment horizontal="justify"/>
    </xf>
    <xf numFmtId="0" fontId="5" fillId="0" borderId="10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right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/>
    </xf>
    <xf numFmtId="0" fontId="20" fillId="0" borderId="19" xfId="0" applyFont="1" applyFill="1" applyBorder="1" applyAlignment="1">
      <alignment horizontal="center" vertical="center" wrapText="1"/>
    </xf>
    <xf numFmtId="0" fontId="23" fillId="2" borderId="19" xfId="0" applyFont="1" applyFill="1" applyBorder="1"/>
    <xf numFmtId="0" fontId="22" fillId="0" borderId="19" xfId="0" applyFont="1" applyBorder="1" applyAlignment="1">
      <alignment wrapText="1"/>
    </xf>
    <xf numFmtId="0" fontId="14" fillId="0" borderId="11" xfId="0" applyFont="1" applyBorder="1" applyAlignment="1">
      <alignment vertical="center"/>
    </xf>
    <xf numFmtId="0" fontId="35" fillId="0" borderId="10" xfId="0" applyFont="1" applyFill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33" fillId="0" borderId="0" xfId="0" applyFont="1" applyFill="1" applyAlignment="1">
      <alignment horizontal="right" vertical="center" wrapText="1"/>
    </xf>
    <xf numFmtId="0" fontId="6" fillId="0" borderId="1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0" fontId="13" fillId="0" borderId="21" xfId="0" applyFont="1" applyFill="1" applyBorder="1" applyAlignment="1">
      <alignment vertical="center" wrapText="1"/>
    </xf>
    <xf numFmtId="0" fontId="32" fillId="0" borderId="24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/>
    </xf>
    <xf numFmtId="0" fontId="34" fillId="3" borderId="0" xfId="0" applyFont="1" applyFill="1" applyAlignment="1">
      <alignment horizontal="left" wrapText="1"/>
    </xf>
    <xf numFmtId="0" fontId="34" fillId="3" borderId="0" xfId="0" applyFont="1" applyFill="1"/>
    <xf numFmtId="0" fontId="17" fillId="3" borderId="0" xfId="0" applyFont="1" applyFill="1"/>
    <xf numFmtId="0" fontId="34" fillId="3" borderId="0" xfId="0" applyFont="1" applyFill="1" applyBorder="1" applyAlignment="1">
      <alignment horizontal="center" vertical="center" wrapText="1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left" vertical="center" wrapText="1"/>
    </xf>
    <xf numFmtId="0" fontId="34" fillId="3" borderId="28" xfId="0" applyFont="1" applyFill="1" applyBorder="1" applyAlignment="1">
      <alignment horizontal="center" vertical="center" wrapText="1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30" xfId="0" applyFont="1" applyFill="1" applyBorder="1" applyAlignment="1">
      <alignment horizontal="center" vertical="center" wrapText="1"/>
    </xf>
    <xf numFmtId="0" fontId="29" fillId="3" borderId="31" xfId="0" applyFont="1" applyFill="1" applyBorder="1" applyAlignment="1">
      <alignment horizontal="left" vertical="center" wrapText="1"/>
    </xf>
    <xf numFmtId="0" fontId="34" fillId="3" borderId="32" xfId="0" applyFont="1" applyFill="1" applyBorder="1" applyAlignment="1">
      <alignment horizontal="center" vertical="center" wrapText="1"/>
    </xf>
    <xf numFmtId="0" fontId="29" fillId="3" borderId="32" xfId="0" applyFont="1" applyFill="1" applyBorder="1" applyAlignment="1">
      <alignment horizontal="center" vertical="center" wrapText="1"/>
    </xf>
    <xf numFmtId="0" fontId="29" fillId="3" borderId="33" xfId="0" applyFont="1" applyFill="1" applyBorder="1" applyAlignment="1">
      <alignment horizontal="center" vertical="center" wrapText="1"/>
    </xf>
    <xf numFmtId="0" fontId="34" fillId="3" borderId="32" xfId="0" applyFont="1" applyFill="1" applyBorder="1"/>
    <xf numFmtId="0" fontId="34" fillId="3" borderId="33" xfId="0" applyFont="1" applyFill="1" applyBorder="1"/>
    <xf numFmtId="0" fontId="34" fillId="3" borderId="31" xfId="0" applyFont="1" applyFill="1" applyBorder="1" applyAlignment="1">
      <alignment horizontal="left" vertical="center" wrapText="1"/>
    </xf>
    <xf numFmtId="0" fontId="32" fillId="3" borderId="31" xfId="0" applyFont="1" applyFill="1" applyBorder="1" applyAlignment="1">
      <alignment horizontal="left" vertical="center" wrapText="1"/>
    </xf>
    <xf numFmtId="0" fontId="29" fillId="3" borderId="34" xfId="0" applyFont="1" applyFill="1" applyBorder="1" applyAlignment="1">
      <alignment horizontal="left" vertical="center" wrapText="1"/>
    </xf>
    <xf numFmtId="0" fontId="34" fillId="3" borderId="35" xfId="0" applyFont="1" applyFill="1" applyBorder="1" applyAlignment="1">
      <alignment horizontal="center" vertical="center" wrapText="1"/>
    </xf>
    <xf numFmtId="0" fontId="34" fillId="3" borderId="35" xfId="0" applyFont="1" applyFill="1" applyBorder="1"/>
    <xf numFmtId="0" fontId="34" fillId="3" borderId="36" xfId="0" applyFont="1" applyFill="1" applyBorder="1"/>
    <xf numFmtId="0" fontId="29" fillId="3" borderId="0" xfId="0" applyFont="1" applyFill="1" applyBorder="1" applyAlignment="1">
      <alignment horizontal="left" vertical="center" wrapText="1"/>
    </xf>
    <xf numFmtId="0" fontId="34" fillId="3" borderId="0" xfId="0" applyFont="1" applyFill="1" applyBorder="1"/>
    <xf numFmtId="0" fontId="30" fillId="3" borderId="0" xfId="0" applyFont="1" applyFill="1" applyAlignment="1">
      <alignment horizontal="left" vertical="center" wrapText="1"/>
    </xf>
    <xf numFmtId="0" fontId="34" fillId="3" borderId="0" xfId="0" applyFont="1" applyFill="1" applyAlignment="1">
      <alignment horizontal="left" vertical="center" wrapText="1"/>
    </xf>
    <xf numFmtId="0" fontId="34" fillId="3" borderId="28" xfId="0" applyFont="1" applyFill="1" applyBorder="1"/>
    <xf numFmtId="0" fontId="34" fillId="3" borderId="29" xfId="0" applyFont="1" applyFill="1" applyBorder="1"/>
    <xf numFmtId="0" fontId="17" fillId="3" borderId="0" xfId="0" applyFont="1" applyFill="1" applyAlignment="1">
      <alignment horizontal="left" vertical="center" wrapText="1"/>
    </xf>
    <xf numFmtId="0" fontId="17" fillId="3" borderId="0" xfId="0" applyFont="1" applyFill="1" applyAlignment="1">
      <alignment horizontal="left" wrapText="1"/>
    </xf>
    <xf numFmtId="0" fontId="13" fillId="0" borderId="24" xfId="0" applyFont="1" applyFill="1" applyBorder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1" xfId="0" applyFont="1" applyBorder="1"/>
    <xf numFmtId="2" fontId="1" fillId="0" borderId="16" xfId="0" applyNumberFormat="1" applyFont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34" fillId="3" borderId="0" xfId="0" applyFont="1" applyFill="1" applyBorder="1" applyAlignment="1">
      <alignment horizontal="left" vertical="center" wrapText="1"/>
    </xf>
    <xf numFmtId="0" fontId="34" fillId="3" borderId="9" xfId="0" applyFont="1" applyFill="1" applyBorder="1" applyAlignment="1">
      <alignment horizontal="left" vertical="center" wrapText="1"/>
    </xf>
    <xf numFmtId="0" fontId="34" fillId="3" borderId="9" xfId="0" applyFont="1" applyFill="1" applyBorder="1"/>
    <xf numFmtId="0" fontId="17" fillId="3" borderId="0" xfId="0" applyFont="1" applyFill="1" applyBorder="1"/>
    <xf numFmtId="0" fontId="34" fillId="3" borderId="39" xfId="0" applyFont="1" applyFill="1" applyBorder="1" applyAlignment="1">
      <alignment horizontal="left" vertical="center" wrapText="1"/>
    </xf>
    <xf numFmtId="0" fontId="34" fillId="3" borderId="40" xfId="0" applyFont="1" applyFill="1" applyBorder="1"/>
    <xf numFmtId="0" fontId="34" fillId="3" borderId="41" xfId="0" applyFont="1" applyFill="1" applyBorder="1" applyAlignment="1">
      <alignment horizontal="left" vertical="center" wrapText="1"/>
    </xf>
    <xf numFmtId="0" fontId="34" fillId="3" borderId="35" xfId="0" applyFont="1" applyFill="1" applyBorder="1" applyAlignment="1">
      <alignment horizontal="left" vertical="center" wrapText="1"/>
    </xf>
    <xf numFmtId="0" fontId="34" fillId="3" borderId="42" xfId="0" applyFont="1" applyFill="1" applyBorder="1"/>
    <xf numFmtId="0" fontId="34" fillId="3" borderId="1" xfId="0" applyFont="1" applyFill="1" applyBorder="1"/>
    <xf numFmtId="0" fontId="34" fillId="3" borderId="43" xfId="0" applyFont="1" applyFill="1" applyBorder="1"/>
    <xf numFmtId="0" fontId="34" fillId="3" borderId="44" xfId="0" applyFont="1" applyFill="1" applyBorder="1" applyAlignment="1">
      <alignment horizontal="center" vertical="center" wrapText="1"/>
    </xf>
    <xf numFmtId="0" fontId="34" fillId="3" borderId="45" xfId="0" applyFont="1" applyFill="1" applyBorder="1"/>
    <xf numFmtId="0" fontId="34" fillId="3" borderId="46" xfId="0" applyFont="1" applyFill="1" applyBorder="1"/>
    <xf numFmtId="0" fontId="34" fillId="3" borderId="21" xfId="0" applyFont="1" applyFill="1" applyBorder="1"/>
    <xf numFmtId="0" fontId="34" fillId="3" borderId="47" xfId="0" applyFont="1" applyFill="1" applyBorder="1"/>
    <xf numFmtId="0" fontId="29" fillId="3" borderId="45" xfId="0" applyFont="1" applyFill="1" applyBorder="1" applyAlignment="1">
      <alignment horizontal="center" vertical="center" wrapText="1"/>
    </xf>
    <xf numFmtId="0" fontId="35" fillId="0" borderId="48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164" fontId="1" fillId="0" borderId="48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5" fillId="0" borderId="1" xfId="0" applyFont="1" applyBorder="1" applyAlignment="1">
      <alignment vertical="center" wrapText="1"/>
    </xf>
    <xf numFmtId="0" fontId="0" fillId="0" borderId="1" xfId="0" applyBorder="1"/>
    <xf numFmtId="0" fontId="32" fillId="0" borderId="10" xfId="0" applyFont="1" applyBorder="1" applyAlignment="1">
      <alignment horizontal="right" vertical="center" wrapText="1"/>
    </xf>
    <xf numFmtId="0" fontId="32" fillId="0" borderId="49" xfId="0" applyFont="1" applyBorder="1" applyAlignment="1">
      <alignment vertical="center" wrapText="1"/>
    </xf>
    <xf numFmtId="0" fontId="5" fillId="0" borderId="49" xfId="0" applyFont="1" applyBorder="1" applyAlignment="1">
      <alignment horizontal="center" vertical="center"/>
    </xf>
    <xf numFmtId="0" fontId="1" fillId="0" borderId="49" xfId="0" applyFont="1" applyBorder="1" applyAlignment="1">
      <alignment horizontal="left" vertical="center" wrapText="1"/>
    </xf>
    <xf numFmtId="164" fontId="1" fillId="0" borderId="49" xfId="0" applyNumberFormat="1" applyFont="1" applyBorder="1" applyAlignment="1">
      <alignment horizontal="left" vertical="center" wrapText="1"/>
    </xf>
    <xf numFmtId="0" fontId="0" fillId="0" borderId="9" xfId="0" applyBorder="1"/>
    <xf numFmtId="0" fontId="34" fillId="3" borderId="50" xfId="0" applyFont="1" applyFill="1" applyBorder="1"/>
    <xf numFmtId="0" fontId="34" fillId="3" borderId="51" xfId="0" applyFont="1" applyFill="1" applyBorder="1"/>
    <xf numFmtId="0" fontId="0" fillId="2" borderId="1" xfId="0" applyFill="1" applyBorder="1"/>
    <xf numFmtId="0" fontId="30" fillId="0" borderId="10" xfId="0" applyFont="1" applyBorder="1" applyAlignment="1">
      <alignment vertical="center" wrapText="1"/>
    </xf>
    <xf numFmtId="0" fontId="29" fillId="0" borderId="2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vertical="center" wrapText="1"/>
    </xf>
    <xf numFmtId="0" fontId="32" fillId="0" borderId="11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29" fillId="3" borderId="25" xfId="0" applyFont="1" applyFill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horizontal="left" vertical="center" wrapText="1"/>
    </xf>
    <xf numFmtId="0" fontId="30" fillId="0" borderId="12" xfId="0" applyFont="1" applyFill="1" applyBorder="1" applyAlignment="1">
      <alignment vertical="center" wrapText="1"/>
    </xf>
    <xf numFmtId="0" fontId="30" fillId="0" borderId="22" xfId="0" applyFont="1" applyFill="1" applyBorder="1" applyAlignment="1">
      <alignment vertical="center" wrapText="1"/>
    </xf>
    <xf numFmtId="0" fontId="30" fillId="0" borderId="20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23" fillId="2" borderId="5" xfId="0" applyFont="1" applyFill="1" applyBorder="1"/>
    <xf numFmtId="0" fontId="22" fillId="0" borderId="37" xfId="0" applyFont="1" applyBorder="1" applyAlignment="1">
      <alignment vertical="top" wrapText="1"/>
    </xf>
    <xf numFmtId="0" fontId="20" fillId="0" borderId="15" xfId="0" applyFont="1" applyBorder="1" applyAlignment="1">
      <alignment horizontal="center"/>
    </xf>
    <xf numFmtId="0" fontId="23" fillId="2" borderId="1" xfId="0" applyFont="1" applyFill="1" applyBorder="1"/>
    <xf numFmtId="0" fontId="22" fillId="0" borderId="4" xfId="0" applyFont="1" applyBorder="1" applyAlignment="1">
      <alignment wrapText="1"/>
    </xf>
    <xf numFmtId="0" fontId="20" fillId="4" borderId="1" xfId="0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vertical="center"/>
    </xf>
    <xf numFmtId="0" fontId="14" fillId="4" borderId="12" xfId="0" applyFont="1" applyFill="1" applyBorder="1" applyAlignment="1">
      <alignment vertical="center"/>
    </xf>
    <xf numFmtId="0" fontId="14" fillId="4" borderId="2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26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justify" vertical="center" wrapText="1"/>
    </xf>
    <xf numFmtId="0" fontId="29" fillId="3" borderId="0" xfId="0" applyFont="1" applyFill="1" applyAlignment="1"/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3" fillId="2" borderId="6" xfId="0" applyFont="1" applyFill="1" applyBorder="1"/>
    <xf numFmtId="0" fontId="22" fillId="0" borderId="0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8" fillId="0" borderId="1" xfId="0" applyFont="1" applyBorder="1"/>
    <xf numFmtId="0" fontId="3" fillId="0" borderId="0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left" vertical="center" wrapText="1"/>
    </xf>
    <xf numFmtId="0" fontId="32" fillId="0" borderId="10" xfId="0" applyFont="1" applyFill="1" applyBorder="1" applyAlignment="1">
      <alignment vertical="center" wrapText="1"/>
    </xf>
    <xf numFmtId="0" fontId="32" fillId="0" borderId="1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165" fontId="13" fillId="0" borderId="11" xfId="0" applyNumberFormat="1" applyFont="1" applyBorder="1" applyAlignment="1">
      <alignment vertical="center"/>
    </xf>
    <xf numFmtId="164" fontId="13" fillId="0" borderId="11" xfId="0" applyNumberFormat="1" applyFont="1" applyBorder="1" applyAlignment="1">
      <alignment vertical="center"/>
    </xf>
    <xf numFmtId="165" fontId="14" fillId="0" borderId="11" xfId="0" applyNumberFormat="1" applyFont="1" applyBorder="1" applyAlignment="1">
      <alignment vertical="center"/>
    </xf>
    <xf numFmtId="166" fontId="42" fillId="0" borderId="1" xfId="1" applyNumberFormat="1" applyFont="1" applyFill="1" applyBorder="1" applyAlignment="1">
      <alignment vertical="center" wrapText="1"/>
    </xf>
    <xf numFmtId="0" fontId="30" fillId="0" borderId="11" xfId="0" applyFont="1" applyBorder="1" applyAlignment="1">
      <alignment vertical="center"/>
    </xf>
    <xf numFmtId="0" fontId="34" fillId="0" borderId="1" xfId="0" applyFont="1" applyBorder="1" applyAlignment="1">
      <alignment wrapText="1"/>
    </xf>
    <xf numFmtId="0" fontId="34" fillId="0" borderId="11" xfId="0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0" fontId="34" fillId="0" borderId="22" xfId="0" applyFont="1" applyFill="1" applyBorder="1" applyAlignment="1">
      <alignment vertical="center" wrapText="1"/>
    </xf>
    <xf numFmtId="0" fontId="38" fillId="0" borderId="1" xfId="0" applyFont="1" applyBorder="1"/>
    <xf numFmtId="2" fontId="14" fillId="0" borderId="1" xfId="0" applyNumberFormat="1" applyFont="1" applyBorder="1" applyAlignment="1">
      <alignment vertical="center"/>
    </xf>
    <xf numFmtId="0" fontId="0" fillId="6" borderId="1" xfId="0" applyFill="1" applyBorder="1"/>
    <xf numFmtId="0" fontId="31" fillId="0" borderId="1" xfId="0" applyFont="1" applyBorder="1" applyAlignment="1">
      <alignment horizontal="left" vertical="center" wrapText="1"/>
    </xf>
    <xf numFmtId="165" fontId="31" fillId="0" borderId="1" xfId="0" applyNumberFormat="1" applyFont="1" applyBorder="1" applyAlignment="1">
      <alignment horizontal="center" vertical="center" wrapText="1"/>
    </xf>
    <xf numFmtId="165" fontId="31" fillId="0" borderId="1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5" fontId="1" fillId="0" borderId="18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left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5" fontId="1" fillId="0" borderId="92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167" fontId="43" fillId="0" borderId="12" xfId="0" applyNumberFormat="1" applyFont="1" applyBorder="1" applyAlignment="1">
      <alignment horizontal="center" vertical="center" wrapText="1"/>
    </xf>
    <xf numFmtId="167" fontId="11" fillId="0" borderId="16" xfId="0" applyNumberFormat="1" applyFont="1" applyBorder="1" applyAlignment="1">
      <alignment horizontal="center" vertical="center" wrapText="1"/>
    </xf>
    <xf numFmtId="167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top"/>
      <protection locked="0"/>
    </xf>
    <xf numFmtId="2" fontId="1" fillId="7" borderId="10" xfId="0" applyNumberFormat="1" applyFont="1" applyFill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1" fillId="6" borderId="10" xfId="0" applyNumberFormat="1" applyFont="1" applyFill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1" fillId="0" borderId="48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left" vertical="center" wrapText="1"/>
    </xf>
    <xf numFmtId="164" fontId="1" fillId="0" borderId="49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wrapText="1"/>
    </xf>
    <xf numFmtId="0" fontId="44" fillId="0" borderId="3" xfId="0" applyFont="1" applyBorder="1" applyAlignment="1">
      <alignment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43" fontId="11" fillId="0" borderId="1" xfId="1" applyFont="1" applyBorder="1" applyAlignment="1">
      <alignment horizontal="center" vertical="center" wrapText="1"/>
    </xf>
    <xf numFmtId="43" fontId="11" fillId="6" borderId="1" xfId="1" applyFont="1" applyFill="1" applyBorder="1" applyAlignment="1">
      <alignment horizontal="center" vertical="center" wrapText="1"/>
    </xf>
    <xf numFmtId="43" fontId="34" fillId="0" borderId="1" xfId="1" applyFont="1" applyBorder="1" applyAlignment="1">
      <alignment horizontal="center" vertical="center" wrapText="1"/>
    </xf>
    <xf numFmtId="0" fontId="11" fillId="0" borderId="2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21" xfId="0" applyFont="1" applyFill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38" fillId="0" borderId="50" xfId="0" applyFont="1" applyBorder="1"/>
    <xf numFmtId="0" fontId="38" fillId="0" borderId="51" xfId="0" applyFont="1" applyBorder="1"/>
    <xf numFmtId="0" fontId="38" fillId="0" borderId="43" xfId="0" applyFont="1" applyBorder="1"/>
    <xf numFmtId="0" fontId="38" fillId="0" borderId="45" xfId="0" applyFont="1" applyBorder="1"/>
    <xf numFmtId="0" fontId="38" fillId="0" borderId="46" xfId="0" applyFont="1" applyBorder="1"/>
    <xf numFmtId="0" fontId="46" fillId="0" borderId="1" xfId="0" applyFont="1" applyBorder="1" applyAlignment="1">
      <alignment vertical="center"/>
    </xf>
    <xf numFmtId="2" fontId="46" fillId="0" borderId="1" xfId="0" applyNumberFormat="1" applyFont="1" applyBorder="1" applyAlignment="1">
      <alignment vertical="center"/>
    </xf>
    <xf numFmtId="165" fontId="30" fillId="0" borderId="11" xfId="0" applyNumberFormat="1" applyFont="1" applyBorder="1" applyAlignment="1">
      <alignment vertical="center"/>
    </xf>
    <xf numFmtId="0" fontId="30" fillId="0" borderId="11" xfId="0" applyFont="1" applyFill="1" applyBorder="1" applyAlignment="1">
      <alignment vertical="center"/>
    </xf>
    <xf numFmtId="165" fontId="46" fillId="0" borderId="11" xfId="0" applyNumberFormat="1" applyFont="1" applyBorder="1" applyAlignment="1">
      <alignment vertical="center"/>
    </xf>
    <xf numFmtId="0" fontId="46" fillId="0" borderId="11" xfId="0" applyFont="1" applyBorder="1" applyAlignment="1">
      <alignment vertical="center"/>
    </xf>
    <xf numFmtId="0" fontId="48" fillId="0" borderId="11" xfId="0" applyFont="1" applyBorder="1" applyAlignment="1">
      <alignment vertical="center"/>
    </xf>
    <xf numFmtId="164" fontId="30" fillId="0" borderId="11" xfId="0" applyNumberFormat="1" applyFont="1" applyBorder="1" applyAlignment="1">
      <alignment vertical="center"/>
    </xf>
    <xf numFmtId="166" fontId="46" fillId="0" borderId="11" xfId="0" applyNumberFormat="1" applyFont="1" applyBorder="1" applyAlignment="1">
      <alignment vertical="center"/>
    </xf>
    <xf numFmtId="168" fontId="46" fillId="0" borderId="11" xfId="0" applyNumberFormat="1" applyFont="1" applyBorder="1" applyAlignment="1">
      <alignment vertical="center"/>
    </xf>
    <xf numFmtId="165" fontId="46" fillId="0" borderId="1" xfId="0" applyNumberFormat="1" applyFont="1" applyBorder="1" applyAlignment="1">
      <alignment vertical="center"/>
    </xf>
    <xf numFmtId="0" fontId="29" fillId="0" borderId="23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165" fontId="29" fillId="0" borderId="23" xfId="0" applyNumberFormat="1" applyFont="1" applyBorder="1" applyAlignment="1">
      <alignment horizontal="center" vertical="center" wrapText="1"/>
    </xf>
    <xf numFmtId="165" fontId="47" fillId="0" borderId="20" xfId="0" applyNumberFormat="1" applyFont="1" applyBorder="1" applyAlignment="1">
      <alignment vertical="center"/>
    </xf>
    <xf numFmtId="2" fontId="13" fillId="0" borderId="1" xfId="0" applyNumberFormat="1" applyFont="1" applyBorder="1" applyAlignment="1">
      <alignment vertical="center"/>
    </xf>
    <xf numFmtId="165" fontId="29" fillId="0" borderId="1" xfId="0" applyNumberFormat="1" applyFont="1" applyBorder="1" applyAlignment="1">
      <alignment vertical="center"/>
    </xf>
    <xf numFmtId="2" fontId="49" fillId="0" borderId="1" xfId="0" applyNumberFormat="1" applyFont="1" applyBorder="1" applyAlignment="1">
      <alignment vertical="center"/>
    </xf>
    <xf numFmtId="0" fontId="29" fillId="0" borderId="1" xfId="0" applyFont="1" applyBorder="1" applyAlignment="1">
      <alignment vertical="center"/>
    </xf>
    <xf numFmtId="0" fontId="25" fillId="0" borderId="3" xfId="0" applyFont="1" applyBorder="1"/>
    <xf numFmtId="164" fontId="23" fillId="2" borderId="3" xfId="0" applyNumberFormat="1" applyFont="1" applyFill="1" applyBorder="1"/>
    <xf numFmtId="164" fontId="25" fillId="0" borderId="4" xfId="0" applyNumberFormat="1" applyFont="1" applyBorder="1"/>
    <xf numFmtId="2" fontId="25" fillId="0" borderId="5" xfId="0" applyNumberFormat="1" applyFont="1" applyBorder="1"/>
    <xf numFmtId="164" fontId="25" fillId="0" borderId="3" xfId="0" applyNumberFormat="1" applyFont="1" applyBorder="1"/>
    <xf numFmtId="2" fontId="25" fillId="0" borderId="3" xfId="0" applyNumberFormat="1" applyFont="1" applyBorder="1"/>
    <xf numFmtId="164" fontId="23" fillId="0" borderId="5" xfId="0" applyNumberFormat="1" applyFont="1" applyBorder="1"/>
    <xf numFmtId="164" fontId="23" fillId="2" borderId="4" xfId="0" applyNumberFormat="1" applyFont="1" applyFill="1" applyBorder="1"/>
    <xf numFmtId="0" fontId="20" fillId="3" borderId="3" xfId="0" applyFont="1" applyFill="1" applyBorder="1" applyAlignment="1">
      <alignment horizontal="center"/>
    </xf>
    <xf numFmtId="2" fontId="23" fillId="0" borderId="5" xfId="0" applyNumberFormat="1" applyFont="1" applyBorder="1"/>
    <xf numFmtId="0" fontId="25" fillId="0" borderId="19" xfId="0" applyFont="1" applyBorder="1"/>
    <xf numFmtId="164" fontId="20" fillId="2" borderId="2" xfId="0" applyNumberFormat="1" applyFont="1" applyFill="1" applyBorder="1"/>
    <xf numFmtId="164" fontId="20" fillId="2" borderId="3" xfId="0" applyNumberFormat="1" applyFont="1" applyFill="1" applyBorder="1"/>
    <xf numFmtId="164" fontId="23" fillId="2" borderId="19" xfId="0" applyNumberFormat="1" applyFont="1" applyFill="1" applyBorder="1"/>
    <xf numFmtId="43" fontId="34" fillId="6" borderId="1" xfId="1" applyFont="1" applyFill="1" applyBorder="1" applyAlignment="1">
      <alignment horizontal="center" vertical="center" wrapText="1"/>
    </xf>
    <xf numFmtId="166" fontId="34" fillId="0" borderId="1" xfId="1" applyNumberFormat="1" applyFont="1" applyBorder="1" applyAlignment="1">
      <alignment horizontal="center" vertical="center" wrapText="1"/>
    </xf>
    <xf numFmtId="166" fontId="34" fillId="6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11" fillId="0" borderId="16" xfId="0" applyNumberFormat="1" applyFont="1" applyBorder="1" applyAlignment="1">
      <alignment horizontal="left" vertical="center" wrapText="1"/>
    </xf>
    <xf numFmtId="165" fontId="1" fillId="0" borderId="16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4" fontId="34" fillId="6" borderId="1" xfId="0" applyNumberFormat="1" applyFont="1" applyFill="1" applyBorder="1" applyAlignment="1">
      <alignment horizontal="center" vertical="center" wrapText="1"/>
    </xf>
    <xf numFmtId="43" fontId="45" fillId="6" borderId="1" xfId="1" applyFont="1" applyFill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4" fillId="4" borderId="55" xfId="0" applyFont="1" applyFill="1" applyBorder="1" applyAlignment="1">
      <alignment horizontal="center" vertical="center" wrapText="1"/>
    </xf>
    <xf numFmtId="0" fontId="4" fillId="4" borderId="56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5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4" borderId="5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53" xfId="0" applyFont="1" applyFill="1" applyBorder="1" applyAlignment="1">
      <alignment horizontal="center" vertical="center" wrapText="1"/>
    </xf>
    <xf numFmtId="0" fontId="3" fillId="4" borderId="5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37" xfId="0" applyFont="1" applyFill="1" applyBorder="1" applyAlignment="1">
      <alignment horizontal="center" vertical="center" wrapText="1"/>
    </xf>
    <xf numFmtId="0" fontId="13" fillId="4" borderId="52" xfId="0" applyFont="1" applyFill="1" applyBorder="1" applyAlignment="1">
      <alignment horizontal="center" vertical="center" wrapText="1"/>
    </xf>
    <xf numFmtId="0" fontId="13" fillId="4" borderId="53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16" fillId="0" borderId="0" xfId="0" applyFont="1" applyAlignment="1">
      <alignment horizontal="right" vertical="center" wrapText="1"/>
    </xf>
    <xf numFmtId="0" fontId="0" fillId="0" borderId="0" xfId="0" applyAlignment="1"/>
    <xf numFmtId="0" fontId="29" fillId="4" borderId="37" xfId="0" applyFont="1" applyFill="1" applyBorder="1" applyAlignment="1">
      <alignment horizontal="center" vertical="center"/>
    </xf>
    <xf numFmtId="0" fontId="29" fillId="4" borderId="52" xfId="0" applyFont="1" applyFill="1" applyBorder="1" applyAlignment="1">
      <alignment horizontal="center" vertical="center"/>
    </xf>
    <xf numFmtId="0" fontId="29" fillId="4" borderId="53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right" vertical="center" wrapText="1"/>
    </xf>
    <xf numFmtId="0" fontId="20" fillId="4" borderId="37" xfId="0" applyFont="1" applyFill="1" applyBorder="1" applyAlignment="1">
      <alignment horizontal="center" vertical="center" wrapText="1"/>
    </xf>
    <xf numFmtId="0" fontId="20" fillId="4" borderId="52" xfId="0" applyFont="1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1" fillId="5" borderId="57" xfId="0" applyFont="1" applyFill="1" applyBorder="1" applyAlignment="1">
      <alignment horizontal="left"/>
    </xf>
    <xf numFmtId="0" fontId="21" fillId="5" borderId="56" xfId="0" applyFont="1" applyFill="1" applyBorder="1" applyAlignment="1">
      <alignment horizontal="left"/>
    </xf>
    <xf numFmtId="0" fontId="21" fillId="4" borderId="37" xfId="0" applyFont="1" applyFill="1" applyBorder="1" applyAlignment="1">
      <alignment horizontal="center" vertical="justify" wrapText="1"/>
    </xf>
    <xf numFmtId="0" fontId="21" fillId="4" borderId="52" xfId="0" applyFont="1" applyFill="1" applyBorder="1" applyAlignment="1">
      <alignment horizontal="center" vertical="justify" wrapText="1"/>
    </xf>
    <xf numFmtId="0" fontId="22" fillId="0" borderId="56" xfId="0" applyFont="1" applyBorder="1" applyAlignment="1">
      <alignment vertical="center" wrapText="1"/>
    </xf>
    <xf numFmtId="0" fontId="20" fillId="0" borderId="7" xfId="0" applyFont="1" applyFill="1" applyBorder="1"/>
    <xf numFmtId="0" fontId="20" fillId="0" borderId="0" xfId="0" applyFont="1" applyFill="1" applyBorder="1"/>
    <xf numFmtId="0" fontId="21" fillId="4" borderId="90" xfId="0" applyFont="1" applyFill="1" applyBorder="1" applyAlignment="1">
      <alignment horizontal="center" vertical="center" wrapText="1"/>
    </xf>
    <xf numFmtId="0" fontId="21" fillId="4" borderId="91" xfId="0" applyFont="1" applyFill="1" applyBorder="1" applyAlignment="1">
      <alignment horizontal="center" vertical="center" wrapText="1"/>
    </xf>
    <xf numFmtId="0" fontId="21" fillId="4" borderId="57" xfId="0" applyFont="1" applyFill="1" applyBorder="1" applyAlignment="1">
      <alignment horizontal="center" wrapText="1"/>
    </xf>
    <xf numFmtId="0" fontId="21" fillId="4" borderId="56" xfId="0" applyFont="1" applyFill="1" applyBorder="1" applyAlignment="1">
      <alignment horizontal="center" wrapText="1"/>
    </xf>
    <xf numFmtId="0" fontId="21" fillId="4" borderId="37" xfId="0" applyFont="1" applyFill="1" applyBorder="1" applyAlignment="1">
      <alignment horizontal="center" vertical="center" wrapText="1"/>
    </xf>
    <xf numFmtId="0" fontId="21" fillId="4" borderId="52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 wrapText="1"/>
    </xf>
    <xf numFmtId="0" fontId="34" fillId="3" borderId="58" xfId="0" applyFont="1" applyFill="1" applyBorder="1" applyAlignment="1">
      <alignment horizontal="center" vertical="center" wrapText="1"/>
    </xf>
    <xf numFmtId="0" fontId="34" fillId="3" borderId="59" xfId="0" applyFont="1" applyFill="1" applyBorder="1" applyAlignment="1">
      <alignment horizontal="center" vertical="center" wrapText="1"/>
    </xf>
    <xf numFmtId="0" fontId="34" fillId="3" borderId="60" xfId="0" applyFont="1" applyFill="1" applyBorder="1" applyAlignment="1">
      <alignment horizontal="center" vertical="center" wrapText="1"/>
    </xf>
    <xf numFmtId="0" fontId="34" fillId="3" borderId="61" xfId="0" applyFont="1" applyFill="1" applyBorder="1" applyAlignment="1">
      <alignment horizontal="center" vertical="center" wrapText="1"/>
    </xf>
    <xf numFmtId="0" fontId="34" fillId="3" borderId="62" xfId="0" applyFont="1" applyFill="1" applyBorder="1" applyAlignment="1">
      <alignment horizontal="center" vertical="center" wrapText="1"/>
    </xf>
    <xf numFmtId="0" fontId="34" fillId="3" borderId="63" xfId="0" applyFont="1" applyFill="1" applyBorder="1" applyAlignment="1">
      <alignment horizontal="center" vertical="center" wrapText="1"/>
    </xf>
    <xf numFmtId="0" fontId="34" fillId="3" borderId="64" xfId="0" applyFont="1" applyFill="1" applyBorder="1" applyAlignment="1">
      <alignment horizontal="center" vertical="center" wrapText="1"/>
    </xf>
    <xf numFmtId="0" fontId="34" fillId="3" borderId="65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 wrapText="1"/>
    </xf>
    <xf numFmtId="0" fontId="29" fillId="3" borderId="65" xfId="0" applyFont="1" applyFill="1" applyBorder="1" applyAlignment="1">
      <alignment horizontal="center" vertical="center" wrapText="1"/>
    </xf>
    <xf numFmtId="0" fontId="29" fillId="3" borderId="66" xfId="0" applyFont="1" applyFill="1" applyBorder="1" applyAlignment="1">
      <alignment horizontal="center" vertical="center" wrapText="1"/>
    </xf>
    <xf numFmtId="0" fontId="29" fillId="3" borderId="67" xfId="0" applyFont="1" applyFill="1" applyBorder="1" applyAlignment="1">
      <alignment horizontal="center" vertical="center" wrapText="1"/>
    </xf>
    <xf numFmtId="0" fontId="29" fillId="3" borderId="68" xfId="0" applyFont="1" applyFill="1" applyBorder="1" applyAlignment="1">
      <alignment horizontal="center" vertical="center" wrapText="1"/>
    </xf>
    <xf numFmtId="0" fontId="29" fillId="3" borderId="72" xfId="0" applyFont="1" applyFill="1" applyBorder="1" applyAlignment="1">
      <alignment horizontal="center" vertical="center" wrapText="1"/>
    </xf>
    <xf numFmtId="0" fontId="29" fillId="3" borderId="73" xfId="0" applyFont="1" applyFill="1" applyBorder="1" applyAlignment="1">
      <alignment horizontal="center" vertical="center" wrapText="1"/>
    </xf>
    <xf numFmtId="0" fontId="29" fillId="3" borderId="63" xfId="0" applyFont="1" applyFill="1" applyBorder="1" applyAlignment="1">
      <alignment horizontal="center" vertical="center" wrapText="1"/>
    </xf>
    <xf numFmtId="0" fontId="29" fillId="3" borderId="64" xfId="0" applyFont="1" applyFill="1" applyBorder="1" applyAlignment="1">
      <alignment horizontal="center" vertical="center" wrapText="1"/>
    </xf>
    <xf numFmtId="0" fontId="29" fillId="3" borderId="58" xfId="0" applyFont="1" applyFill="1" applyBorder="1" applyAlignment="1">
      <alignment horizontal="center" vertical="center" wrapText="1"/>
    </xf>
    <xf numFmtId="0" fontId="29" fillId="3" borderId="59" xfId="0" applyFont="1" applyFill="1" applyBorder="1" applyAlignment="1">
      <alignment horizontal="center" vertical="center" wrapText="1"/>
    </xf>
    <xf numFmtId="0" fontId="29" fillId="3" borderId="69" xfId="0" applyFont="1" applyFill="1" applyBorder="1" applyAlignment="1">
      <alignment horizontal="center" vertical="center" wrapText="1"/>
    </xf>
    <xf numFmtId="0" fontId="29" fillId="3" borderId="70" xfId="0" applyFont="1" applyFill="1" applyBorder="1" applyAlignment="1">
      <alignment horizontal="center" vertical="center" wrapText="1"/>
    </xf>
    <xf numFmtId="0" fontId="29" fillId="4" borderId="81" xfId="0" applyFont="1" applyFill="1" applyBorder="1" applyAlignment="1">
      <alignment horizontal="center" vertical="center" wrapText="1"/>
    </xf>
    <xf numFmtId="0" fontId="29" fillId="4" borderId="77" xfId="0" applyFont="1" applyFill="1" applyBorder="1" applyAlignment="1">
      <alignment horizontal="center" vertical="center" wrapText="1"/>
    </xf>
    <xf numFmtId="0" fontId="29" fillId="4" borderId="82" xfId="0" applyFont="1" applyFill="1" applyBorder="1" applyAlignment="1">
      <alignment horizontal="center" vertical="center" wrapText="1"/>
    </xf>
    <xf numFmtId="0" fontId="29" fillId="4" borderId="75" xfId="0" applyFont="1" applyFill="1" applyBorder="1" applyAlignment="1">
      <alignment horizontal="center" vertical="center" wrapText="1"/>
    </xf>
    <xf numFmtId="0" fontId="29" fillId="4" borderId="70" xfId="0" applyFont="1" applyFill="1" applyBorder="1" applyAlignment="1">
      <alignment horizontal="center" vertical="center" wrapText="1"/>
    </xf>
    <xf numFmtId="0" fontId="29" fillId="4" borderId="71" xfId="0" applyFont="1" applyFill="1" applyBorder="1" applyAlignment="1">
      <alignment horizontal="center" vertical="center" wrapText="1"/>
    </xf>
    <xf numFmtId="0" fontId="29" fillId="4" borderId="22" xfId="0" applyFont="1" applyFill="1" applyBorder="1" applyAlignment="1">
      <alignment horizontal="center" vertical="center" wrapText="1"/>
    </xf>
    <xf numFmtId="0" fontId="29" fillId="4" borderId="68" xfId="0" applyFont="1" applyFill="1" applyBorder="1" applyAlignment="1">
      <alignment horizontal="center" vertical="center" wrapText="1"/>
    </xf>
    <xf numFmtId="0" fontId="29" fillId="4" borderId="76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87" xfId="0" applyFont="1" applyFill="1" applyBorder="1" applyAlignment="1">
      <alignment horizontal="center" vertical="center" wrapText="1"/>
    </xf>
    <xf numFmtId="0" fontId="29" fillId="4" borderId="59" xfId="0" applyFont="1" applyFill="1" applyBorder="1" applyAlignment="1">
      <alignment horizontal="center" vertical="center" wrapText="1"/>
    </xf>
    <xf numFmtId="0" fontId="29" fillId="4" borderId="83" xfId="0" applyFont="1" applyFill="1" applyBorder="1" applyAlignment="1">
      <alignment horizontal="center" vertical="center" wrapText="1"/>
    </xf>
    <xf numFmtId="0" fontId="29" fillId="4" borderId="52" xfId="0" applyFont="1" applyFill="1" applyBorder="1" applyAlignment="1">
      <alignment horizontal="center" vertical="center" wrapText="1"/>
    </xf>
    <xf numFmtId="0" fontId="29" fillId="3" borderId="0" xfId="0" applyFont="1" applyFill="1" applyAlignment="1">
      <alignment horizontal="right"/>
    </xf>
    <xf numFmtId="0" fontId="29" fillId="3" borderId="75" xfId="0" applyFont="1" applyFill="1" applyBorder="1" applyAlignment="1">
      <alignment horizontal="center" vertical="center" wrapText="1"/>
    </xf>
    <xf numFmtId="0" fontId="29" fillId="3" borderId="71" xfId="0" applyFont="1" applyFill="1" applyBorder="1" applyAlignment="1">
      <alignment horizontal="center" vertical="center" wrapText="1"/>
    </xf>
    <xf numFmtId="0" fontId="29" fillId="3" borderId="76" xfId="0" applyFont="1" applyFill="1" applyBorder="1" applyAlignment="1">
      <alignment horizontal="center" vertical="center" wrapText="1"/>
    </xf>
    <xf numFmtId="0" fontId="29" fillId="3" borderId="77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center" vertical="center" wrapText="1"/>
    </xf>
    <xf numFmtId="0" fontId="17" fillId="3" borderId="74" xfId="0" applyFont="1" applyFill="1" applyBorder="1" applyAlignment="1">
      <alignment horizontal="center" vertical="top" wrapText="1"/>
    </xf>
    <xf numFmtId="0" fontId="34" fillId="3" borderId="0" xfId="0" applyFont="1" applyFill="1" applyBorder="1" applyAlignment="1">
      <alignment horizontal="center" vertical="center" wrapText="1"/>
    </xf>
    <xf numFmtId="0" fontId="34" fillId="3" borderId="0" xfId="0" applyFont="1" applyFill="1" applyBorder="1" applyAlignment="1">
      <alignment horizontal="center" wrapText="1"/>
    </xf>
    <xf numFmtId="0" fontId="29" fillId="3" borderId="78" xfId="0" applyFont="1" applyFill="1" applyBorder="1" applyAlignment="1">
      <alignment horizontal="center" vertical="center" wrapText="1"/>
    </xf>
    <xf numFmtId="0" fontId="29" fillId="3" borderId="79" xfId="0" applyFont="1" applyFill="1" applyBorder="1" applyAlignment="1">
      <alignment horizontal="center" vertical="center" wrapText="1"/>
    </xf>
    <xf numFmtId="0" fontId="29" fillId="3" borderId="80" xfId="0" applyFont="1" applyFill="1" applyBorder="1" applyAlignment="1">
      <alignment horizontal="center" vertical="center" wrapText="1"/>
    </xf>
    <xf numFmtId="0" fontId="29" fillId="3" borderId="81" xfId="0" applyFont="1" applyFill="1" applyBorder="1" applyAlignment="1">
      <alignment horizontal="center" vertical="center" wrapText="1"/>
    </xf>
    <xf numFmtId="0" fontId="29" fillId="3" borderId="82" xfId="0" applyFont="1" applyFill="1" applyBorder="1" applyAlignment="1">
      <alignment horizontal="center" vertical="center" wrapText="1"/>
    </xf>
    <xf numFmtId="0" fontId="29" fillId="3" borderId="22" xfId="0" applyFont="1" applyFill="1" applyBorder="1" applyAlignment="1">
      <alignment horizontal="center" vertical="center" wrapText="1"/>
    </xf>
    <xf numFmtId="0" fontId="29" fillId="3" borderId="87" xfId="0" applyFont="1" applyFill="1" applyBorder="1" applyAlignment="1">
      <alignment horizontal="center" vertical="center" wrapText="1"/>
    </xf>
    <xf numFmtId="0" fontId="29" fillId="3" borderId="83" xfId="0" applyFont="1" applyFill="1" applyBorder="1" applyAlignment="1">
      <alignment horizontal="center" vertical="center" wrapText="1"/>
    </xf>
    <xf numFmtId="0" fontId="29" fillId="3" borderId="52" xfId="0" applyFont="1" applyFill="1" applyBorder="1" applyAlignment="1">
      <alignment horizontal="center" vertical="center" wrapText="1"/>
    </xf>
    <xf numFmtId="0" fontId="29" fillId="4" borderId="84" xfId="0" applyFont="1" applyFill="1" applyBorder="1" applyAlignment="1">
      <alignment horizontal="center" vertical="center" wrapText="1"/>
    </xf>
    <xf numFmtId="0" fontId="29" fillId="4" borderId="85" xfId="0" applyFont="1" applyFill="1" applyBorder="1" applyAlignment="1">
      <alignment horizontal="center" vertical="center" wrapText="1"/>
    </xf>
    <xf numFmtId="0" fontId="29" fillId="4" borderId="8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4" borderId="55" xfId="0" applyFont="1" applyFill="1" applyBorder="1" applyAlignment="1">
      <alignment horizontal="center" vertical="center" wrapText="1"/>
    </xf>
    <xf numFmtId="0" fontId="11" fillId="4" borderId="56" xfId="0" applyFont="1" applyFill="1" applyBorder="1" applyAlignment="1">
      <alignment horizontal="center" vertical="center" wrapText="1"/>
    </xf>
    <xf numFmtId="0" fontId="11" fillId="4" borderId="87" xfId="0" applyFont="1" applyFill="1" applyBorder="1" applyAlignment="1">
      <alignment horizontal="center" vertical="center" wrapText="1"/>
    </xf>
    <xf numFmtId="0" fontId="11" fillId="4" borderId="8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89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11" fillId="4" borderId="37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0" fontId="11" fillId="4" borderId="52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/>
    </xf>
    <xf numFmtId="0" fontId="38" fillId="0" borderId="67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68" xfId="0" applyFont="1" applyBorder="1" applyAlignment="1">
      <alignment horizontal="center" vertical="center"/>
    </xf>
    <xf numFmtId="0" fontId="38" fillId="0" borderId="93" xfId="0" applyFont="1" applyBorder="1"/>
    <xf numFmtId="0" fontId="38" fillId="0" borderId="94" xfId="0" applyFont="1" applyBorder="1"/>
    <xf numFmtId="0" fontId="38" fillId="0" borderId="44" xfId="0" applyFont="1" applyBorder="1"/>
    <xf numFmtId="0" fontId="38" fillId="0" borderId="67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68" xfId="0" applyFont="1" applyBorder="1" applyAlignment="1">
      <alignment horizontal="center" vertical="center" wrapText="1"/>
    </xf>
    <xf numFmtId="0" fontId="38" fillId="0" borderId="1" xfId="0" applyFont="1" applyBorder="1"/>
    <xf numFmtId="0" fontId="38" fillId="0" borderId="22" xfId="0" applyFont="1" applyBorder="1" applyAlignment="1">
      <alignment horizontal="center" vertical="center"/>
    </xf>
    <xf numFmtId="0" fontId="34" fillId="3" borderId="45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4" borderId="22" xfId="0" applyFont="1" applyFill="1" applyBorder="1" applyAlignment="1">
      <alignment horizontal="center" vertical="center" wrapText="1"/>
    </xf>
    <xf numFmtId="0" fontId="37" fillId="4" borderId="21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ozdova/Documents/&#1055;&#1088;&#1086;&#1075;&#1085;&#1086;&#1079;/&#1055;&#1088;&#1086;&#1075;&#1085;&#1086;&#1079;%20&#1085;&#1072;%202024-2026/&#1060;&#1086;&#1088;&#1084;&#1072;%20&#1055;&#1088;&#1086;&#1075;&#1085;&#1086;&#1079;&#1072;-2024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 2024-2026 "/>
      <sheetName val="Приложение 2"/>
      <sheetName val="Прил 3 (расчет ИФО) (2)"/>
      <sheetName val="Прил 4 (показатели предприятий)"/>
      <sheetName val="Прил 5 Прогноз по поселениям"/>
      <sheetName val="Прил 6 Инвестпроекты"/>
    </sheetNames>
    <sheetDataSet>
      <sheetData sheetId="0"/>
      <sheetData sheetId="1">
        <row r="8">
          <cell r="M8">
            <v>175.77600000000004</v>
          </cell>
        </row>
        <row r="9">
          <cell r="M9">
            <v>175.63600000000005</v>
          </cell>
        </row>
        <row r="23">
          <cell r="G23">
            <v>1.905</v>
          </cell>
        </row>
        <row r="27">
          <cell r="G27">
            <v>2725.5360000000001</v>
          </cell>
        </row>
        <row r="37">
          <cell r="G37">
            <v>23.047774616799998</v>
          </cell>
        </row>
        <row r="47">
          <cell r="G47">
            <v>106.33199999999999</v>
          </cell>
        </row>
        <row r="55">
          <cell r="G55">
            <v>174.0522502413277</v>
          </cell>
        </row>
        <row r="62">
          <cell r="C62">
            <v>91.57</v>
          </cell>
          <cell r="D62">
            <v>94.317099999999996</v>
          </cell>
          <cell r="G62">
            <v>103.0628417317</v>
          </cell>
        </row>
        <row r="72">
          <cell r="C72">
            <v>28.12</v>
          </cell>
          <cell r="G72">
            <v>37.615000000000002</v>
          </cell>
        </row>
        <row r="77">
          <cell r="I77">
            <v>320.34500000000003</v>
          </cell>
          <cell r="J77">
            <v>679.27916000000005</v>
          </cell>
          <cell r="M77">
            <v>1303.84333381849</v>
          </cell>
        </row>
        <row r="78">
          <cell r="C78">
            <v>1192.9729299999999</v>
          </cell>
          <cell r="D78">
            <v>1468.2763679</v>
          </cell>
          <cell r="G78">
            <v>1642.8610248581276</v>
          </cell>
        </row>
      </sheetData>
      <sheetData sheetId="2">
        <row r="14">
          <cell r="P14">
            <v>111.14351812041635</v>
          </cell>
          <cell r="Q14">
            <v>101.61799537064469</v>
          </cell>
          <cell r="S14">
            <v>100.19089634163943</v>
          </cell>
        </row>
        <row r="21">
          <cell r="P21">
            <v>101.15219081649809</v>
          </cell>
          <cell r="Q21">
            <v>103.24809591485089</v>
          </cell>
          <cell r="S21">
            <v>101.07885158063614</v>
          </cell>
        </row>
        <row r="24">
          <cell r="P24">
            <v>92.928112215078912</v>
          </cell>
          <cell r="Q24">
            <v>105.45073375262052</v>
          </cell>
          <cell r="S24">
            <v>101.35658914728683</v>
          </cell>
        </row>
        <row r="25">
          <cell r="Q25">
            <v>101.81875079419531</v>
          </cell>
        </row>
        <row r="36">
          <cell r="Q36">
            <v>102.95112530684185</v>
          </cell>
          <cell r="S36">
            <v>101.14384423812071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50"/>
  </sheetPr>
  <dimension ref="A1:I181"/>
  <sheetViews>
    <sheetView tabSelected="1" view="pageBreakPreview" topLeftCell="A13" zoomScale="75" zoomScaleNormal="75" workbookViewId="0">
      <selection activeCell="H139" sqref="H139"/>
    </sheetView>
  </sheetViews>
  <sheetFormatPr defaultRowHeight="12.75" x14ac:dyDescent="0.2"/>
  <cols>
    <col min="1" max="1" width="74.7109375" customWidth="1"/>
    <col min="2" max="2" width="15.140625" customWidth="1"/>
    <col min="3" max="3" width="13.85546875" customWidth="1"/>
    <col min="4" max="4" width="14.140625" customWidth="1"/>
    <col min="5" max="5" width="13" customWidth="1"/>
    <col min="6" max="6" width="16.140625" customWidth="1"/>
    <col min="7" max="7" width="17.140625" customWidth="1"/>
    <col min="8" max="8" width="13.140625" customWidth="1"/>
    <col min="9" max="9" width="12.28515625" customWidth="1"/>
  </cols>
  <sheetData>
    <row r="1" spans="1:9" ht="37.15" customHeight="1" x14ac:dyDescent="0.2">
      <c r="A1" s="394" t="s">
        <v>299</v>
      </c>
      <c r="B1" s="394"/>
      <c r="C1" s="394"/>
      <c r="D1" s="394"/>
      <c r="E1" s="394"/>
      <c r="F1" s="394"/>
      <c r="G1" s="394"/>
      <c r="H1" s="382" t="s">
        <v>62</v>
      </c>
      <c r="I1" s="382"/>
    </row>
    <row r="2" spans="1:9" ht="39" customHeight="1" x14ac:dyDescent="0.2">
      <c r="A2" s="164"/>
      <c r="B2" s="164"/>
      <c r="C2" s="164"/>
      <c r="D2" s="164"/>
      <c r="E2" s="164"/>
      <c r="F2" s="164"/>
      <c r="H2" s="383" t="s">
        <v>284</v>
      </c>
      <c r="I2" s="383"/>
    </row>
    <row r="3" spans="1:9" ht="14.25" customHeight="1" x14ac:dyDescent="0.2">
      <c r="A3" s="1"/>
      <c r="B3" s="2"/>
      <c r="C3" s="1"/>
      <c r="D3" s="1"/>
      <c r="E3" s="47"/>
      <c r="F3" s="47"/>
      <c r="G3" s="47"/>
    </row>
    <row r="4" spans="1:9" ht="51" customHeight="1" x14ac:dyDescent="0.2">
      <c r="A4" s="387" t="s">
        <v>303</v>
      </c>
      <c r="B4" s="387"/>
      <c r="C4" s="387"/>
      <c r="D4" s="387"/>
      <c r="E4" s="387"/>
      <c r="F4" s="387"/>
      <c r="G4" s="387"/>
      <c r="H4" s="387"/>
      <c r="I4" s="387"/>
    </row>
    <row r="5" spans="1:9" ht="14.25" customHeight="1" x14ac:dyDescent="0.2">
      <c r="A5" s="39"/>
      <c r="B5" s="39"/>
      <c r="C5" s="39"/>
      <c r="D5" s="39"/>
      <c r="E5" s="39"/>
      <c r="F5" s="39"/>
      <c r="G5" s="39"/>
    </row>
    <row r="6" spans="1:9" ht="21" customHeight="1" x14ac:dyDescent="0.2">
      <c r="A6" s="384" t="s">
        <v>8</v>
      </c>
      <c r="B6" s="391" t="s">
        <v>9</v>
      </c>
      <c r="C6" s="384" t="s">
        <v>275</v>
      </c>
      <c r="D6" s="384" t="s">
        <v>285</v>
      </c>
      <c r="E6" s="384" t="s">
        <v>286</v>
      </c>
      <c r="F6" s="380" t="s">
        <v>65</v>
      </c>
      <c r="G6" s="381"/>
      <c r="H6" s="381"/>
      <c r="I6" s="390"/>
    </row>
    <row r="7" spans="1:9" ht="33" customHeight="1" x14ac:dyDescent="0.2">
      <c r="A7" s="385"/>
      <c r="B7" s="392"/>
      <c r="C7" s="385"/>
      <c r="D7" s="385"/>
      <c r="E7" s="385"/>
      <c r="F7" s="380" t="s">
        <v>267</v>
      </c>
      <c r="G7" s="381"/>
      <c r="H7" s="388" t="s">
        <v>276</v>
      </c>
      <c r="I7" s="388" t="s">
        <v>287</v>
      </c>
    </row>
    <row r="8" spans="1:9" ht="98.25" customHeight="1" x14ac:dyDescent="0.2">
      <c r="A8" s="386"/>
      <c r="B8" s="393"/>
      <c r="C8" s="386"/>
      <c r="D8" s="386"/>
      <c r="E8" s="386"/>
      <c r="F8" s="231" t="s">
        <v>268</v>
      </c>
      <c r="G8" s="232" t="s">
        <v>269</v>
      </c>
      <c r="H8" s="389"/>
      <c r="I8" s="389"/>
    </row>
    <row r="9" spans="1:9" ht="18.75" x14ac:dyDescent="0.2">
      <c r="A9" s="375" t="s">
        <v>10</v>
      </c>
      <c r="B9" s="376"/>
      <c r="C9" s="376"/>
      <c r="D9" s="376"/>
      <c r="E9" s="376"/>
      <c r="F9" s="376"/>
      <c r="G9" s="376"/>
      <c r="H9" s="376"/>
      <c r="I9" s="376"/>
    </row>
    <row r="10" spans="1:9" ht="39" x14ac:dyDescent="0.2">
      <c r="A10" s="50" t="s">
        <v>82</v>
      </c>
      <c r="B10" s="69" t="s">
        <v>11</v>
      </c>
      <c r="C10" s="272">
        <v>2584.6790000000001</v>
      </c>
      <c r="D10" s="272">
        <v>3767.7359999999999</v>
      </c>
      <c r="E10" s="273">
        <f>D10*105%</f>
        <v>3956.1228000000001</v>
      </c>
      <c r="F10" s="273">
        <f>E10*104%</f>
        <v>4114.3677120000002</v>
      </c>
      <c r="G10" s="274">
        <f>F10</f>
        <v>4114.3677120000002</v>
      </c>
      <c r="H10" s="273">
        <f>G10*103%</f>
        <v>4237.7987433600001</v>
      </c>
      <c r="I10" s="273">
        <f>H10*102%</f>
        <v>4322.5547182272003</v>
      </c>
    </row>
    <row r="11" spans="1:9" ht="18.75" x14ac:dyDescent="0.2">
      <c r="A11" s="112" t="s">
        <v>12</v>
      </c>
      <c r="B11" s="81"/>
      <c r="C11" s="82"/>
      <c r="D11" s="82"/>
      <c r="E11" s="83"/>
      <c r="F11" s="83"/>
      <c r="G11" s="82"/>
      <c r="H11" s="83"/>
      <c r="I11" s="83"/>
    </row>
    <row r="12" spans="1:9" ht="37.5" x14ac:dyDescent="0.2">
      <c r="A12" s="85" t="s">
        <v>195</v>
      </c>
      <c r="B12" s="71" t="s">
        <v>11</v>
      </c>
      <c r="C12" s="276">
        <v>1854.5160000000001</v>
      </c>
      <c r="D12" s="276">
        <v>1102.74</v>
      </c>
      <c r="E12" s="276">
        <f t="shared" ref="E12:E26" si="0">D12*105%</f>
        <v>1157.877</v>
      </c>
      <c r="F12" s="277">
        <f t="shared" ref="F12:F26" si="1">E12*104%</f>
        <v>1204.19208</v>
      </c>
      <c r="G12" s="278">
        <f t="shared" ref="G12:G26" si="2">F12</f>
        <v>1204.19208</v>
      </c>
      <c r="H12" s="277">
        <f>'[1]Приложение 2'!M8</f>
        <v>175.77600000000004</v>
      </c>
      <c r="I12" s="277">
        <f t="shared" ref="I12:I26" si="3">H12*102%</f>
        <v>179.29152000000005</v>
      </c>
    </row>
    <row r="13" spans="1:9" ht="37.5" x14ac:dyDescent="0.2">
      <c r="A13" s="86" t="s">
        <v>196</v>
      </c>
      <c r="B13" s="71" t="s">
        <v>11</v>
      </c>
      <c r="C13" s="275">
        <v>1849.414</v>
      </c>
      <c r="D13" s="275">
        <v>1096.9069999999999</v>
      </c>
      <c r="E13" s="275">
        <f t="shared" si="0"/>
        <v>1151.75235</v>
      </c>
      <c r="F13" s="277">
        <f t="shared" si="1"/>
        <v>1197.8224439999999</v>
      </c>
      <c r="G13" s="278">
        <f t="shared" si="2"/>
        <v>1197.8224439999999</v>
      </c>
      <c r="H13" s="277">
        <f>'[1]Приложение 2'!M9</f>
        <v>175.63600000000005</v>
      </c>
      <c r="I13" s="277">
        <f t="shared" si="3"/>
        <v>179.14872000000005</v>
      </c>
    </row>
    <row r="14" spans="1:9" ht="18.75" x14ac:dyDescent="0.2">
      <c r="A14" s="87" t="s">
        <v>197</v>
      </c>
      <c r="B14" s="71" t="s">
        <v>11</v>
      </c>
      <c r="C14" s="278">
        <v>5.1020000000000003</v>
      </c>
      <c r="D14" s="278">
        <v>5.8330000000000002</v>
      </c>
      <c r="E14" s="278">
        <f t="shared" si="0"/>
        <v>6.1246500000000008</v>
      </c>
      <c r="F14" s="277">
        <f t="shared" si="1"/>
        <v>6.3696360000000007</v>
      </c>
      <c r="G14" s="278">
        <f t="shared" si="2"/>
        <v>6.3696360000000007</v>
      </c>
      <c r="H14" s="277">
        <f>'[1]Приложение 2'!G23</f>
        <v>1.905</v>
      </c>
      <c r="I14" s="277">
        <f t="shared" si="3"/>
        <v>1.9431</v>
      </c>
    </row>
    <row r="15" spans="1:9" ht="18.75" x14ac:dyDescent="0.2">
      <c r="A15" s="87" t="s">
        <v>198</v>
      </c>
      <c r="B15" s="71" t="s">
        <v>11</v>
      </c>
      <c r="C15" s="72">
        <v>0</v>
      </c>
      <c r="D15" s="72">
        <v>0</v>
      </c>
      <c r="E15" s="72">
        <f t="shared" si="0"/>
        <v>0</v>
      </c>
      <c r="F15" s="277">
        <f t="shared" si="1"/>
        <v>0</v>
      </c>
      <c r="G15" s="279">
        <f t="shared" si="2"/>
        <v>0</v>
      </c>
      <c r="H15" s="277">
        <v>0</v>
      </c>
      <c r="I15" s="277">
        <f t="shared" si="3"/>
        <v>0</v>
      </c>
    </row>
    <row r="16" spans="1:9" ht="18.75" x14ac:dyDescent="0.2">
      <c r="A16" s="87" t="s">
        <v>47</v>
      </c>
      <c r="B16" s="71" t="s">
        <v>11</v>
      </c>
      <c r="C16" s="278">
        <v>2177.4409999999998</v>
      </c>
      <c r="D16" s="278">
        <v>2046.6659999999999</v>
      </c>
      <c r="E16" s="278">
        <f t="shared" si="0"/>
        <v>2148.9992999999999</v>
      </c>
      <c r="F16" s="277">
        <f t="shared" si="1"/>
        <v>2234.9592720000001</v>
      </c>
      <c r="G16" s="279">
        <f t="shared" si="2"/>
        <v>2234.9592720000001</v>
      </c>
      <c r="H16" s="277">
        <f>'[1]Приложение 2'!G27</f>
        <v>2725.5360000000001</v>
      </c>
      <c r="I16" s="277">
        <f t="shared" si="3"/>
        <v>2780.0467200000003</v>
      </c>
    </row>
    <row r="17" spans="1:9" ht="18.75" x14ac:dyDescent="0.2">
      <c r="A17" s="87" t="s">
        <v>48</v>
      </c>
      <c r="B17" s="71" t="s">
        <v>11</v>
      </c>
      <c r="C17" s="279">
        <v>10.67</v>
      </c>
      <c r="D17" s="279">
        <v>10.252000000000001</v>
      </c>
      <c r="E17" s="279">
        <f t="shared" si="0"/>
        <v>10.764600000000002</v>
      </c>
      <c r="F17" s="277">
        <f t="shared" si="1"/>
        <v>11.195184000000001</v>
      </c>
      <c r="G17" s="279">
        <f t="shared" si="2"/>
        <v>11.195184000000001</v>
      </c>
      <c r="H17" s="277">
        <f>'[1]Приложение 2'!G37</f>
        <v>23.047774616799998</v>
      </c>
      <c r="I17" s="277">
        <f t="shared" si="3"/>
        <v>23.508730109136</v>
      </c>
    </row>
    <row r="18" spans="1:9" ht="40.5" customHeight="1" x14ac:dyDescent="0.2">
      <c r="A18" s="86" t="s">
        <v>199</v>
      </c>
      <c r="B18" s="71" t="s">
        <v>11</v>
      </c>
      <c r="C18" s="72">
        <v>99.02</v>
      </c>
      <c r="D18" s="72">
        <v>103.504</v>
      </c>
      <c r="E18" s="72">
        <f t="shared" si="0"/>
        <v>108.67920000000001</v>
      </c>
      <c r="F18" s="277">
        <f t="shared" si="1"/>
        <v>113.02636800000002</v>
      </c>
      <c r="G18" s="279">
        <f t="shared" si="2"/>
        <v>113.02636800000002</v>
      </c>
      <c r="H18" s="277">
        <f>'[1]Приложение 2'!G47</f>
        <v>106.33199999999999</v>
      </c>
      <c r="I18" s="277">
        <f t="shared" si="3"/>
        <v>108.45863999999999</v>
      </c>
    </row>
    <row r="19" spans="1:9" ht="37.5" customHeight="1" x14ac:dyDescent="0.2">
      <c r="A19" s="85" t="s">
        <v>200</v>
      </c>
      <c r="B19" s="71" t="s">
        <v>11</v>
      </c>
      <c r="C19" s="279">
        <v>17.571999999999999</v>
      </c>
      <c r="D19" s="279">
        <v>17.895</v>
      </c>
      <c r="E19" s="279">
        <f t="shared" si="0"/>
        <v>18.789750000000002</v>
      </c>
      <c r="F19" s="277">
        <f t="shared" si="1"/>
        <v>19.541340000000002</v>
      </c>
      <c r="G19" s="279">
        <f t="shared" si="2"/>
        <v>19.541340000000002</v>
      </c>
      <c r="H19" s="277">
        <f>'[1]Приложение 2'!G47</f>
        <v>106.33199999999999</v>
      </c>
      <c r="I19" s="277">
        <f t="shared" si="3"/>
        <v>108.45863999999999</v>
      </c>
    </row>
    <row r="20" spans="1:9" ht="18.75" x14ac:dyDescent="0.2">
      <c r="A20" s="87" t="s">
        <v>17</v>
      </c>
      <c r="B20" s="71" t="s">
        <v>11</v>
      </c>
      <c r="C20" s="72">
        <v>0</v>
      </c>
      <c r="D20" s="72">
        <v>0</v>
      </c>
      <c r="E20" s="72">
        <f t="shared" ref="E20" si="4">D20*103%</f>
        <v>0</v>
      </c>
      <c r="F20" s="277">
        <f t="shared" si="1"/>
        <v>0</v>
      </c>
      <c r="G20" s="279">
        <f t="shared" si="2"/>
        <v>0</v>
      </c>
      <c r="H20" s="277">
        <v>0</v>
      </c>
      <c r="I20" s="277">
        <f t="shared" si="3"/>
        <v>0</v>
      </c>
    </row>
    <row r="21" spans="1:9" ht="37.5" x14ac:dyDescent="0.2">
      <c r="A21" s="85" t="s">
        <v>201</v>
      </c>
      <c r="B21" s="71" t="s">
        <v>11</v>
      </c>
      <c r="C21" s="278">
        <v>142.05799999999999</v>
      </c>
      <c r="D21" s="278">
        <v>136.42400000000001</v>
      </c>
      <c r="E21" s="278">
        <f t="shared" si="0"/>
        <v>143.24520000000001</v>
      </c>
      <c r="F21" s="277">
        <f t="shared" si="1"/>
        <v>148.975008</v>
      </c>
      <c r="G21" s="279">
        <f t="shared" si="2"/>
        <v>148.975008</v>
      </c>
      <c r="H21" s="277">
        <f>'[1]Приложение 2'!G55</f>
        <v>174.0522502413277</v>
      </c>
      <c r="I21" s="277">
        <f t="shared" si="3"/>
        <v>177.53329524615427</v>
      </c>
    </row>
    <row r="22" spans="1:9" ht="18.75" x14ac:dyDescent="0.2">
      <c r="A22" s="87" t="s">
        <v>239</v>
      </c>
      <c r="B22" s="71" t="s">
        <v>11</v>
      </c>
      <c r="C22" s="276">
        <f>'[1]Приложение 2'!C62</f>
        <v>91.57</v>
      </c>
      <c r="D22" s="276">
        <f>'[1]Приложение 2'!D62</f>
        <v>94.317099999999996</v>
      </c>
      <c r="E22" s="276">
        <f t="shared" si="0"/>
        <v>99.032955000000001</v>
      </c>
      <c r="F22" s="277">
        <f t="shared" si="1"/>
        <v>102.99427320000001</v>
      </c>
      <c r="G22" s="279">
        <f t="shared" si="2"/>
        <v>102.99427320000001</v>
      </c>
      <c r="H22" s="277">
        <f>'[1]Приложение 2'!G62</f>
        <v>103.0628417317</v>
      </c>
      <c r="I22" s="277">
        <f t="shared" si="3"/>
        <v>105.12409856633401</v>
      </c>
    </row>
    <row r="23" spans="1:9" ht="18.75" x14ac:dyDescent="0.2">
      <c r="A23" s="87" t="s">
        <v>240</v>
      </c>
      <c r="B23" s="71" t="s">
        <v>11</v>
      </c>
      <c r="C23" s="72">
        <v>0</v>
      </c>
      <c r="D23" s="72">
        <v>0</v>
      </c>
      <c r="E23" s="72">
        <f t="shared" si="0"/>
        <v>0</v>
      </c>
      <c r="F23" s="277">
        <f t="shared" si="1"/>
        <v>0</v>
      </c>
      <c r="G23" s="279">
        <f t="shared" si="2"/>
        <v>0</v>
      </c>
      <c r="H23" s="277">
        <v>0</v>
      </c>
      <c r="I23" s="277">
        <f t="shared" si="3"/>
        <v>0</v>
      </c>
    </row>
    <row r="24" spans="1:9" ht="18.75" x14ac:dyDescent="0.2">
      <c r="A24" s="87" t="s">
        <v>53</v>
      </c>
      <c r="B24" s="71" t="s">
        <v>11</v>
      </c>
      <c r="C24" s="275">
        <f>'[1]Приложение 2'!C72</f>
        <v>28.12</v>
      </c>
      <c r="D24" s="275">
        <v>38.613</v>
      </c>
      <c r="E24" s="275">
        <f t="shared" si="0"/>
        <v>40.54365</v>
      </c>
      <c r="F24" s="277">
        <f t="shared" si="1"/>
        <v>42.165396000000001</v>
      </c>
      <c r="G24" s="279">
        <f t="shared" si="2"/>
        <v>42.165396000000001</v>
      </c>
      <c r="H24" s="275">
        <f>'[1]Приложение 2'!G72</f>
        <v>37.615000000000002</v>
      </c>
      <c r="I24" s="275">
        <f t="shared" si="3"/>
        <v>38.3673</v>
      </c>
    </row>
    <row r="25" spans="1:9" ht="58.5" x14ac:dyDescent="0.2">
      <c r="A25" s="50" t="s">
        <v>83</v>
      </c>
      <c r="B25" s="71" t="s">
        <v>11</v>
      </c>
      <c r="C25" s="72">
        <f>'[1]Приложение 2'!C78</f>
        <v>1192.9729299999999</v>
      </c>
      <c r="D25" s="72">
        <f>'[1]Приложение 2'!D78</f>
        <v>1468.2763679</v>
      </c>
      <c r="E25" s="72">
        <f t="shared" si="0"/>
        <v>1541.6901862950001</v>
      </c>
      <c r="F25" s="277">
        <f t="shared" si="1"/>
        <v>1603.3577937468001</v>
      </c>
      <c r="G25" s="279">
        <f t="shared" si="2"/>
        <v>1603.3577937468001</v>
      </c>
      <c r="H25" s="277">
        <f>'[1]Приложение 2'!G78</f>
        <v>1642.8610248581276</v>
      </c>
      <c r="I25" s="277">
        <f t="shared" si="3"/>
        <v>1675.7182453552903</v>
      </c>
    </row>
    <row r="26" spans="1:9" ht="44.25" customHeight="1" x14ac:dyDescent="0.2">
      <c r="A26" s="109" t="s">
        <v>150</v>
      </c>
      <c r="B26" s="78" t="s">
        <v>11</v>
      </c>
      <c r="C26" s="163">
        <f>'[1]Приложение 2'!I77</f>
        <v>320.34500000000003</v>
      </c>
      <c r="D26" s="163">
        <f>'[1]Приложение 2'!J77</f>
        <v>679.27916000000005</v>
      </c>
      <c r="E26" s="163">
        <f t="shared" si="0"/>
        <v>713.24311800000009</v>
      </c>
      <c r="F26" s="280">
        <f t="shared" si="1"/>
        <v>741.77284272000009</v>
      </c>
      <c r="G26" s="367">
        <f t="shared" si="2"/>
        <v>741.77284272000009</v>
      </c>
      <c r="H26" s="280">
        <f>'[1]Приложение 2'!M77</f>
        <v>1303.84333381849</v>
      </c>
      <c r="I26" s="280">
        <f t="shared" si="3"/>
        <v>1329.9202004948597</v>
      </c>
    </row>
    <row r="27" spans="1:9" ht="18.75" x14ac:dyDescent="0.2">
      <c r="A27" s="377" t="s">
        <v>15</v>
      </c>
      <c r="B27" s="378"/>
      <c r="C27" s="378"/>
      <c r="D27" s="378"/>
      <c r="E27" s="378"/>
      <c r="F27" s="378"/>
      <c r="G27" s="378"/>
      <c r="H27" s="378"/>
      <c r="I27" s="379"/>
    </row>
    <row r="28" spans="1:9" ht="18.75" x14ac:dyDescent="0.2">
      <c r="A28" s="110" t="s">
        <v>66</v>
      </c>
      <c r="B28" s="80"/>
      <c r="C28" s="80"/>
      <c r="D28" s="80"/>
      <c r="E28" s="80"/>
      <c r="F28" s="80"/>
      <c r="G28" s="80"/>
      <c r="H28" s="80"/>
      <c r="I28" s="80"/>
    </row>
    <row r="29" spans="1:9" ht="58.5" customHeight="1" x14ac:dyDescent="0.2">
      <c r="A29" s="90" t="s">
        <v>256</v>
      </c>
      <c r="B29" s="71" t="s">
        <v>11</v>
      </c>
      <c r="C29" s="281">
        <v>1163.211</v>
      </c>
      <c r="D29" s="368">
        <v>999.98699999999997</v>
      </c>
      <c r="E29" s="281">
        <f>D29*E30%</f>
        <v>1018.1742715043498</v>
      </c>
      <c r="F29" s="281">
        <f>E29*F30%</f>
        <v>1039.5559312059411</v>
      </c>
      <c r="G29" s="281">
        <f t="shared" ref="G29:G30" si="5">F29</f>
        <v>1039.5559312059411</v>
      </c>
      <c r="H29" s="281">
        <f>G29*H30%</f>
        <v>1065.5448294860896</v>
      </c>
      <c r="I29" s="281">
        <f>H29*I30%</f>
        <v>1096.4456295411865</v>
      </c>
    </row>
    <row r="30" spans="1:9" ht="18.75" x14ac:dyDescent="0.2">
      <c r="A30" s="90" t="s">
        <v>68</v>
      </c>
      <c r="B30" s="74" t="s">
        <v>13</v>
      </c>
      <c r="C30" s="281">
        <v>115.5</v>
      </c>
      <c r="D30" s="281">
        <v>86</v>
      </c>
      <c r="E30" s="281">
        <f>'[1]Прил 3 (расчет ИФО) (2)'!Q25</f>
        <v>101.81875079419531</v>
      </c>
      <c r="F30" s="281">
        <v>102.1</v>
      </c>
      <c r="G30" s="281">
        <f t="shared" si="5"/>
        <v>102.1</v>
      </c>
      <c r="H30" s="281">
        <v>102.5</v>
      </c>
      <c r="I30" s="281">
        <v>102.9</v>
      </c>
    </row>
    <row r="31" spans="1:9" ht="18.75" x14ac:dyDescent="0.2">
      <c r="A31" s="91" t="s">
        <v>28</v>
      </c>
      <c r="B31" s="71"/>
      <c r="C31" s="74"/>
      <c r="D31" s="74"/>
      <c r="E31" s="74"/>
      <c r="F31" s="74" t="s">
        <v>342</v>
      </c>
      <c r="G31" s="74"/>
      <c r="H31" s="74"/>
      <c r="I31" s="74"/>
    </row>
    <row r="32" spans="1:9" ht="18.75" x14ac:dyDescent="0.2">
      <c r="A32" s="89" t="s">
        <v>202</v>
      </c>
      <c r="B32" s="71"/>
      <c r="C32" s="72"/>
      <c r="D32" s="72"/>
      <c r="E32" s="72"/>
      <c r="F32" s="282" t="s">
        <v>342</v>
      </c>
      <c r="G32" s="72"/>
      <c r="H32" s="75"/>
      <c r="I32" s="75"/>
    </row>
    <row r="33" spans="1:9" ht="37.5" x14ac:dyDescent="0.2">
      <c r="A33" s="92" t="s">
        <v>203</v>
      </c>
      <c r="B33" s="71" t="s">
        <v>11</v>
      </c>
      <c r="C33" s="277">
        <f>C29</f>
        <v>1163.211</v>
      </c>
      <c r="D33" s="275">
        <f t="shared" ref="C33:I34" si="6">D29</f>
        <v>999.98699999999997</v>
      </c>
      <c r="E33" s="278">
        <f t="shared" si="6"/>
        <v>1018.1742715043498</v>
      </c>
      <c r="F33" s="283">
        <f t="shared" ref="F33:G58" si="7">E33</f>
        <v>1018.1742715043498</v>
      </c>
      <c r="G33" s="275">
        <f t="shared" si="7"/>
        <v>1018.1742715043498</v>
      </c>
      <c r="H33" s="283">
        <f t="shared" si="6"/>
        <v>1065.5448294860896</v>
      </c>
      <c r="I33" s="283">
        <f t="shared" si="6"/>
        <v>1096.4456295411865</v>
      </c>
    </row>
    <row r="34" spans="1:9" ht="18.75" x14ac:dyDescent="0.2">
      <c r="A34" s="92" t="s">
        <v>258</v>
      </c>
      <c r="B34" s="71" t="s">
        <v>13</v>
      </c>
      <c r="C34" s="277">
        <f t="shared" si="6"/>
        <v>115.5</v>
      </c>
      <c r="D34" s="277">
        <f t="shared" si="6"/>
        <v>86</v>
      </c>
      <c r="E34" s="277">
        <f t="shared" si="6"/>
        <v>101.81875079419531</v>
      </c>
      <c r="F34" s="284">
        <f t="shared" si="7"/>
        <v>101.81875079419531</v>
      </c>
      <c r="G34" s="277">
        <f t="shared" si="7"/>
        <v>101.81875079419531</v>
      </c>
      <c r="H34" s="284">
        <f t="shared" si="6"/>
        <v>102.5</v>
      </c>
      <c r="I34" s="284">
        <f t="shared" si="6"/>
        <v>102.9</v>
      </c>
    </row>
    <row r="35" spans="1:9" ht="18.75" x14ac:dyDescent="0.2">
      <c r="A35" s="89" t="s">
        <v>204</v>
      </c>
      <c r="B35" s="71"/>
      <c r="C35" s="72"/>
      <c r="D35" s="72"/>
      <c r="E35" s="72"/>
      <c r="F35" s="282" t="s">
        <v>342</v>
      </c>
      <c r="G35" s="72" t="s">
        <v>342</v>
      </c>
      <c r="H35" s="75"/>
      <c r="I35" s="75"/>
    </row>
    <row r="36" spans="1:9" ht="37.5" x14ac:dyDescent="0.2">
      <c r="A36" s="92" t="s">
        <v>205</v>
      </c>
      <c r="B36" s="71" t="s">
        <v>11</v>
      </c>
      <c r="C36" s="278">
        <v>770.44100000000003</v>
      </c>
      <c r="D36" s="278">
        <v>786.322</v>
      </c>
      <c r="E36" s="278">
        <v>801.87099999999998</v>
      </c>
      <c r="F36" s="283">
        <f t="shared" si="7"/>
        <v>801.87099999999998</v>
      </c>
      <c r="G36" s="278">
        <f t="shared" si="7"/>
        <v>801.87099999999998</v>
      </c>
      <c r="H36" s="283">
        <v>879.66700000000003</v>
      </c>
      <c r="I36" s="280">
        <v>898.63099999999997</v>
      </c>
    </row>
    <row r="37" spans="1:9" ht="18.75" x14ac:dyDescent="0.2">
      <c r="A37" s="92" t="s">
        <v>4</v>
      </c>
      <c r="B37" s="71" t="s">
        <v>13</v>
      </c>
      <c r="C37" s="277">
        <v>116.1</v>
      </c>
      <c r="D37" s="277">
        <f>'[1]Прил 3 (расчет ИФО) (2)'!P14</f>
        <v>111.14351812041635</v>
      </c>
      <c r="E37" s="277">
        <f>'[1]Прил 3 (расчет ИФО) (2)'!Q14</f>
        <v>101.61799537064469</v>
      </c>
      <c r="F37" s="283">
        <f t="shared" si="7"/>
        <v>101.61799537064469</v>
      </c>
      <c r="G37" s="277">
        <f t="shared" si="7"/>
        <v>101.61799537064469</v>
      </c>
      <c r="H37" s="284">
        <f>'[1]Прил 3 (расчет ИФО) (2)'!S14</f>
        <v>100.19089634163943</v>
      </c>
      <c r="I37" s="284">
        <f>I36/H36*100</f>
        <v>102.15581578028959</v>
      </c>
    </row>
    <row r="38" spans="1:9" ht="37.5" customHeight="1" x14ac:dyDescent="0.2">
      <c r="A38" s="89" t="s">
        <v>206</v>
      </c>
      <c r="B38" s="71"/>
      <c r="C38" s="72"/>
      <c r="D38" s="72"/>
      <c r="E38" s="72"/>
      <c r="F38" s="282" t="s">
        <v>342</v>
      </c>
      <c r="G38" s="72" t="s">
        <v>342</v>
      </c>
      <c r="H38" s="75"/>
      <c r="I38" s="75"/>
    </row>
    <row r="39" spans="1:9" ht="37.5" x14ac:dyDescent="0.2">
      <c r="A39" s="92" t="s">
        <v>205</v>
      </c>
      <c r="B39" s="71" t="s">
        <v>11</v>
      </c>
      <c r="C39" s="282">
        <v>2.1019999999999999</v>
      </c>
      <c r="D39" s="275">
        <v>2.3109999999999999</v>
      </c>
      <c r="E39" s="275">
        <v>2.3250000000000002</v>
      </c>
      <c r="F39" s="282">
        <f t="shared" si="7"/>
        <v>2.3250000000000002</v>
      </c>
      <c r="G39" s="278">
        <f t="shared" si="7"/>
        <v>2.3250000000000002</v>
      </c>
      <c r="H39" s="282">
        <v>2.4009999999999998</v>
      </c>
      <c r="I39" s="371">
        <v>2.5379999999999998</v>
      </c>
    </row>
    <row r="40" spans="1:9" ht="18.75" x14ac:dyDescent="0.2">
      <c r="A40" s="92" t="s">
        <v>4</v>
      </c>
      <c r="B40" s="71" t="s">
        <v>13</v>
      </c>
      <c r="C40" s="277">
        <v>100.7</v>
      </c>
      <c r="D40" s="277">
        <f>'[1]Прил 3 (расчет ИФО) (2)'!P21</f>
        <v>101.15219081649809</v>
      </c>
      <c r="E40" s="277">
        <f>'[1]Прил 3 (расчет ИФО) (2)'!Q21</f>
        <v>103.24809591485089</v>
      </c>
      <c r="F40" s="284">
        <f t="shared" si="7"/>
        <v>103.24809591485089</v>
      </c>
      <c r="G40" s="277">
        <f t="shared" si="7"/>
        <v>103.24809591485089</v>
      </c>
      <c r="H40" s="284">
        <f>'[1]Прил 3 (расчет ИФО) (2)'!S21</f>
        <v>101.07885158063614</v>
      </c>
      <c r="I40" s="284">
        <f>I39/H39*100</f>
        <v>105.70595585172843</v>
      </c>
    </row>
    <row r="41" spans="1:9" ht="37.5" x14ac:dyDescent="0.2">
      <c r="A41" s="208" t="s">
        <v>207</v>
      </c>
      <c r="B41" s="71"/>
      <c r="C41" s="72"/>
      <c r="D41" s="72"/>
      <c r="E41" s="94"/>
      <c r="F41" s="282" t="s">
        <v>342</v>
      </c>
      <c r="G41" s="94" t="s">
        <v>342</v>
      </c>
      <c r="H41" s="75"/>
      <c r="I41" s="75"/>
    </row>
    <row r="42" spans="1:9" ht="37.5" x14ac:dyDescent="0.2">
      <c r="A42" s="92" t="s">
        <v>208</v>
      </c>
      <c r="B42" s="71" t="s">
        <v>11</v>
      </c>
      <c r="C42" s="285">
        <v>61.421999999999997</v>
      </c>
      <c r="D42" s="278">
        <v>57.621000000000002</v>
      </c>
      <c r="E42" s="285">
        <f>D42*E43%</f>
        <v>60.76176729559748</v>
      </c>
      <c r="F42" s="283">
        <f t="shared" si="7"/>
        <v>60.76176729559748</v>
      </c>
      <c r="G42" s="285">
        <f t="shared" si="7"/>
        <v>60.76176729559748</v>
      </c>
      <c r="H42" s="283">
        <f>G42*H43%</f>
        <v>61.586054836429227</v>
      </c>
      <c r="I42" s="371">
        <f t="shared" ref="I42" si="8">H42*102%</f>
        <v>62.817775933157812</v>
      </c>
    </row>
    <row r="43" spans="1:9" ht="18.75" x14ac:dyDescent="0.2">
      <c r="A43" s="92" t="s">
        <v>4</v>
      </c>
      <c r="B43" s="71" t="s">
        <v>13</v>
      </c>
      <c r="C43" s="277">
        <v>101.8</v>
      </c>
      <c r="D43" s="277">
        <f>'[1]Прил 3 (расчет ИФО) (2)'!P24</f>
        <v>92.928112215078912</v>
      </c>
      <c r="E43" s="286">
        <f>'[1]Прил 3 (расчет ИФО) (2)'!Q24</f>
        <v>105.45073375262052</v>
      </c>
      <c r="F43" s="284">
        <f t="shared" si="7"/>
        <v>105.45073375262052</v>
      </c>
      <c r="G43" s="286">
        <f t="shared" si="7"/>
        <v>105.45073375262052</v>
      </c>
      <c r="H43" s="284">
        <f>'[1]Прил 3 (расчет ИФО) (2)'!S24</f>
        <v>101.35658914728683</v>
      </c>
      <c r="I43" s="284">
        <f>I42/H42*100</f>
        <v>102</v>
      </c>
    </row>
    <row r="44" spans="1:9" ht="56.25" x14ac:dyDescent="0.2">
      <c r="A44" s="208" t="s">
        <v>209</v>
      </c>
      <c r="B44" s="71"/>
      <c r="C44" s="72"/>
      <c r="D44" s="72"/>
      <c r="E44" s="94"/>
      <c r="F44" s="282" t="s">
        <v>342</v>
      </c>
      <c r="G44" s="94" t="s">
        <v>342</v>
      </c>
      <c r="H44" s="75"/>
      <c r="I44" s="75"/>
    </row>
    <row r="45" spans="1:9" ht="37.5" x14ac:dyDescent="0.2">
      <c r="A45" s="92" t="s">
        <v>208</v>
      </c>
      <c r="B45" s="71" t="s">
        <v>11</v>
      </c>
      <c r="C45" s="275">
        <v>9.1669999999999998</v>
      </c>
      <c r="D45" s="275">
        <v>9.8989999999999991</v>
      </c>
      <c r="E45" s="287">
        <v>10.012</v>
      </c>
      <c r="F45" s="282">
        <f t="shared" si="7"/>
        <v>10.012</v>
      </c>
      <c r="G45" s="287">
        <f t="shared" si="7"/>
        <v>10.012</v>
      </c>
      <c r="H45" s="282">
        <v>11.721</v>
      </c>
      <c r="I45" s="283">
        <f t="shared" ref="I45:I47" si="9">H45*102%</f>
        <v>11.95542</v>
      </c>
    </row>
    <row r="46" spans="1:9" ht="37.5" x14ac:dyDescent="0.2">
      <c r="A46" s="93" t="s">
        <v>210</v>
      </c>
      <c r="B46" s="76"/>
      <c r="C46" s="72"/>
      <c r="D46" s="72"/>
      <c r="E46" s="94"/>
      <c r="F46" s="275" t="s">
        <v>342</v>
      </c>
      <c r="G46" s="94" t="s">
        <v>342</v>
      </c>
      <c r="H46" s="72"/>
      <c r="I46" s="72"/>
    </row>
    <row r="47" spans="1:9" ht="18.75" x14ac:dyDescent="0.2">
      <c r="A47" s="95" t="s">
        <v>16</v>
      </c>
      <c r="B47" s="71" t="s">
        <v>11</v>
      </c>
      <c r="C47" s="278">
        <v>188.05600000000001</v>
      </c>
      <c r="D47" s="278">
        <f>C47*D48%</f>
        <v>143.486728</v>
      </c>
      <c r="E47" s="277">
        <f>D47*E48%</f>
        <v>147.72120114196733</v>
      </c>
      <c r="F47" s="277">
        <f t="shared" si="7"/>
        <v>147.72120114196733</v>
      </c>
      <c r="G47" s="277">
        <f t="shared" si="7"/>
        <v>147.72120114196733</v>
      </c>
      <c r="H47" s="277">
        <f>G47*H48%</f>
        <v>149.41090158971241</v>
      </c>
      <c r="I47" s="277">
        <f t="shared" si="9"/>
        <v>152.39911962150666</v>
      </c>
    </row>
    <row r="48" spans="1:9" ht="18.75" x14ac:dyDescent="0.2">
      <c r="A48" s="95" t="s">
        <v>211</v>
      </c>
      <c r="B48" s="71" t="s">
        <v>13</v>
      </c>
      <c r="C48" s="277">
        <v>117.5</v>
      </c>
      <c r="D48" s="277">
        <v>76.3</v>
      </c>
      <c r="E48" s="277">
        <f>'[1]Прил 3 (расчет ИФО) (2)'!Q36</f>
        <v>102.95112530684185</v>
      </c>
      <c r="F48" s="284">
        <f t="shared" si="7"/>
        <v>102.95112530684185</v>
      </c>
      <c r="G48" s="277">
        <f t="shared" si="7"/>
        <v>102.95112530684185</v>
      </c>
      <c r="H48" s="284">
        <f>'[1]Прил 3 (расчет ИФО) (2)'!S36</f>
        <v>101.14384423812071</v>
      </c>
      <c r="I48" s="284">
        <f>I47/H47*100</f>
        <v>102</v>
      </c>
    </row>
    <row r="49" spans="1:9" ht="18.75" x14ac:dyDescent="0.2">
      <c r="A49" s="96" t="s">
        <v>212</v>
      </c>
      <c r="B49" s="76"/>
      <c r="C49" s="72"/>
      <c r="D49" s="72"/>
      <c r="E49" s="94"/>
      <c r="F49" s="275" t="s">
        <v>342</v>
      </c>
      <c r="G49" s="94" t="s">
        <v>342</v>
      </c>
      <c r="H49" s="72"/>
      <c r="I49" s="72"/>
    </row>
    <row r="50" spans="1:9" ht="18.75" x14ac:dyDescent="0.2">
      <c r="A50" s="97" t="s">
        <v>213</v>
      </c>
      <c r="B50" s="71" t="s">
        <v>11</v>
      </c>
      <c r="C50" s="275">
        <v>0</v>
      </c>
      <c r="D50" s="275">
        <v>0</v>
      </c>
      <c r="E50" s="275">
        <v>0</v>
      </c>
      <c r="F50" s="275">
        <f t="shared" si="7"/>
        <v>0</v>
      </c>
      <c r="G50" s="275">
        <f t="shared" si="7"/>
        <v>0</v>
      </c>
      <c r="H50" s="289">
        <v>0</v>
      </c>
      <c r="I50" s="289">
        <v>0</v>
      </c>
    </row>
    <row r="51" spans="1:9" ht="18.75" x14ac:dyDescent="0.2">
      <c r="A51" s="97" t="s">
        <v>18</v>
      </c>
      <c r="B51" s="71" t="s">
        <v>19</v>
      </c>
      <c r="C51" s="290">
        <v>7054</v>
      </c>
      <c r="D51" s="289">
        <v>5210</v>
      </c>
      <c r="E51" s="289">
        <v>4200</v>
      </c>
      <c r="F51" s="289">
        <f t="shared" si="7"/>
        <v>4200</v>
      </c>
      <c r="G51" s="284">
        <f t="shared" si="7"/>
        <v>4200</v>
      </c>
      <c r="H51" s="284">
        <v>4200</v>
      </c>
      <c r="I51" s="284">
        <f t="shared" ref="I51" si="10">H51*102%</f>
        <v>4284</v>
      </c>
    </row>
    <row r="52" spans="1:9" ht="18.75" x14ac:dyDescent="0.2">
      <c r="A52" s="97" t="s">
        <v>20</v>
      </c>
      <c r="B52" s="71" t="s">
        <v>19</v>
      </c>
      <c r="C52" s="291">
        <f>C51/27094</f>
        <v>0.26035284564848304</v>
      </c>
      <c r="D52" s="283">
        <f>D51/26414</f>
        <v>0.19724388581812674</v>
      </c>
      <c r="E52" s="278">
        <f t="shared" ref="E52:H52" si="11">E51/26414</f>
        <v>0.15900658741576437</v>
      </c>
      <c r="F52" s="278">
        <f t="shared" si="7"/>
        <v>0.15900658741576437</v>
      </c>
      <c r="G52" s="283">
        <f t="shared" si="7"/>
        <v>0.15900658741576437</v>
      </c>
      <c r="H52" s="283">
        <f t="shared" si="11"/>
        <v>0.15900658741576437</v>
      </c>
      <c r="I52" s="284">
        <f>I51/H51*100</f>
        <v>102</v>
      </c>
    </row>
    <row r="53" spans="1:9" ht="18.75" x14ac:dyDescent="0.2">
      <c r="A53" s="96" t="s">
        <v>214</v>
      </c>
      <c r="B53" s="76"/>
      <c r="C53" s="72"/>
      <c r="D53" s="72"/>
      <c r="E53" s="94"/>
      <c r="F53" s="282" t="s">
        <v>342</v>
      </c>
      <c r="G53" s="94" t="str">
        <f t="shared" si="7"/>
        <v xml:space="preserve"> </v>
      </c>
      <c r="H53" s="75"/>
      <c r="I53" s="75"/>
    </row>
    <row r="54" spans="1:9" ht="18.75" x14ac:dyDescent="0.2">
      <c r="A54" s="97" t="s">
        <v>215</v>
      </c>
      <c r="B54" s="71" t="s">
        <v>216</v>
      </c>
      <c r="C54" s="275">
        <v>0</v>
      </c>
      <c r="D54" s="275">
        <v>0</v>
      </c>
      <c r="E54" s="275">
        <v>0</v>
      </c>
      <c r="F54" s="275">
        <f t="shared" si="7"/>
        <v>0</v>
      </c>
      <c r="G54" s="275">
        <f t="shared" si="7"/>
        <v>0</v>
      </c>
      <c r="H54" s="275">
        <v>0</v>
      </c>
      <c r="I54" s="275">
        <v>0</v>
      </c>
    </row>
    <row r="55" spans="1:9" ht="18.75" x14ac:dyDescent="0.2">
      <c r="A55" s="97" t="s">
        <v>217</v>
      </c>
      <c r="B55" s="71" t="s">
        <v>218</v>
      </c>
      <c r="C55" s="275">
        <v>0</v>
      </c>
      <c r="D55" s="275">
        <v>0</v>
      </c>
      <c r="E55" s="275">
        <v>0</v>
      </c>
      <c r="F55" s="275">
        <f t="shared" si="7"/>
        <v>0</v>
      </c>
      <c r="G55" s="275">
        <f t="shared" si="7"/>
        <v>0</v>
      </c>
      <c r="H55" s="275">
        <v>0</v>
      </c>
      <c r="I55" s="275">
        <v>0</v>
      </c>
    </row>
    <row r="56" spans="1:9" ht="37.5" x14ac:dyDescent="0.2">
      <c r="A56" s="96" t="s">
        <v>219</v>
      </c>
      <c r="B56" s="71"/>
      <c r="C56" s="72"/>
      <c r="D56" s="72"/>
      <c r="E56" s="72"/>
      <c r="F56" s="282" t="s">
        <v>342</v>
      </c>
      <c r="G56" s="72" t="str">
        <f t="shared" si="7"/>
        <v xml:space="preserve"> </v>
      </c>
      <c r="H56" s="75"/>
      <c r="I56" s="75"/>
    </row>
    <row r="57" spans="1:9" ht="18.75" x14ac:dyDescent="0.2">
      <c r="A57" s="97" t="s">
        <v>22</v>
      </c>
      <c r="B57" s="71" t="s">
        <v>11</v>
      </c>
      <c r="C57" s="282">
        <v>2611.5619999999999</v>
      </c>
      <c r="D57" s="282">
        <v>2764.2109999999998</v>
      </c>
      <c r="E57" s="282">
        <f>D57*E58%</f>
        <v>2921.7710269999998</v>
      </c>
      <c r="F57" s="283">
        <f>E57*F58%</f>
        <v>3064.937807323</v>
      </c>
      <c r="G57" s="283">
        <f t="shared" si="7"/>
        <v>3064.937807323</v>
      </c>
      <c r="H57" s="282">
        <f>G57*H58%</f>
        <v>3245.7691379550574</v>
      </c>
      <c r="I57" s="282">
        <f t="shared" ref="I57" si="12">H57*102%</f>
        <v>3310.6845207141587</v>
      </c>
    </row>
    <row r="58" spans="1:9" ht="18.75" x14ac:dyDescent="0.2">
      <c r="A58" s="97" t="s">
        <v>23</v>
      </c>
      <c r="B58" s="71" t="s">
        <v>13</v>
      </c>
      <c r="C58" s="284">
        <v>104.6</v>
      </c>
      <c r="D58" s="284">
        <f>D57/C57*100</f>
        <v>105.84512257415292</v>
      </c>
      <c r="E58" s="284">
        <v>105.7</v>
      </c>
      <c r="F58" s="284">
        <v>104.9</v>
      </c>
      <c r="G58" s="284">
        <f t="shared" si="7"/>
        <v>104.9</v>
      </c>
      <c r="H58" s="284">
        <v>105.9</v>
      </c>
      <c r="I58" s="284">
        <f>I57/H57*100</f>
        <v>102</v>
      </c>
    </row>
    <row r="59" spans="1:9" ht="18.75" x14ac:dyDescent="0.2">
      <c r="A59" s="93" t="s">
        <v>24</v>
      </c>
      <c r="B59" s="76"/>
      <c r="C59" s="288"/>
      <c r="D59" s="288"/>
      <c r="E59" s="288"/>
      <c r="F59" s="77"/>
      <c r="G59" s="289" t="s">
        <v>342</v>
      </c>
      <c r="H59" s="77"/>
      <c r="I59" s="77"/>
    </row>
    <row r="60" spans="1:9" ht="18.75" x14ac:dyDescent="0.2">
      <c r="A60" s="95" t="s">
        <v>220</v>
      </c>
      <c r="B60" s="71" t="s">
        <v>25</v>
      </c>
      <c r="C60" s="289">
        <f t="shared" ref="C60:E60" si="13">C62+C65+C66+C67+C68+C69+C70+C71+C72+C73+C74</f>
        <v>70</v>
      </c>
      <c r="D60" s="289">
        <f t="shared" si="13"/>
        <v>72</v>
      </c>
      <c r="E60" s="289">
        <f t="shared" si="13"/>
        <v>72</v>
      </c>
      <c r="F60" s="289">
        <f t="shared" ref="F60:F78" si="14">E60</f>
        <v>72</v>
      </c>
      <c r="G60" s="289">
        <f t="shared" ref="G60:G94" si="15">F60</f>
        <v>72</v>
      </c>
      <c r="H60" s="289">
        <f t="shared" ref="H60" si="16">H62+H65+H66+H67+H68+H69+H70+H71+H72+H73+H74</f>
        <v>74</v>
      </c>
      <c r="I60" s="289">
        <v>74</v>
      </c>
    </row>
    <row r="61" spans="1:9" ht="18.75" x14ac:dyDescent="0.2">
      <c r="A61" s="95" t="s">
        <v>67</v>
      </c>
      <c r="B61" s="71"/>
      <c r="C61" s="289"/>
      <c r="D61" s="289"/>
      <c r="E61" s="289"/>
      <c r="F61" s="289"/>
      <c r="G61" s="289" t="s">
        <v>342</v>
      </c>
      <c r="H61" s="284"/>
      <c r="I61" s="284"/>
    </row>
    <row r="62" spans="1:9" ht="37.5" x14ac:dyDescent="0.2">
      <c r="A62" s="95" t="s">
        <v>257</v>
      </c>
      <c r="B62" s="71" t="s">
        <v>25</v>
      </c>
      <c r="C62" s="289">
        <f t="shared" ref="C62:E62" si="17">C63+C64</f>
        <v>51</v>
      </c>
      <c r="D62" s="289">
        <f t="shared" si="17"/>
        <v>53</v>
      </c>
      <c r="E62" s="289">
        <f t="shared" si="17"/>
        <v>53</v>
      </c>
      <c r="F62" s="289">
        <f t="shared" si="14"/>
        <v>53</v>
      </c>
      <c r="G62" s="289">
        <f t="shared" si="15"/>
        <v>53</v>
      </c>
      <c r="H62" s="289">
        <f t="shared" ref="H62" si="18">H63+H64</f>
        <v>55</v>
      </c>
      <c r="I62" s="289">
        <v>55</v>
      </c>
    </row>
    <row r="63" spans="1:9" ht="37.5" x14ac:dyDescent="0.2">
      <c r="A63" s="95" t="s">
        <v>196</v>
      </c>
      <c r="B63" s="71" t="s">
        <v>25</v>
      </c>
      <c r="C63" s="289">
        <v>51</v>
      </c>
      <c r="D63" s="289">
        <v>53</v>
      </c>
      <c r="E63" s="289">
        <v>53</v>
      </c>
      <c r="F63" s="289">
        <v>53</v>
      </c>
      <c r="G63" s="289">
        <f t="shared" si="15"/>
        <v>53</v>
      </c>
      <c r="H63" s="289">
        <v>55</v>
      </c>
      <c r="I63" s="289">
        <v>55</v>
      </c>
    </row>
    <row r="64" spans="1:9" ht="18.75" x14ac:dyDescent="0.2">
      <c r="A64" s="95" t="s">
        <v>197</v>
      </c>
      <c r="B64" s="71" t="s">
        <v>25</v>
      </c>
      <c r="C64" s="289">
        <v>0</v>
      </c>
      <c r="D64" s="289">
        <v>0</v>
      </c>
      <c r="E64" s="289">
        <v>0</v>
      </c>
      <c r="F64" s="289">
        <v>0</v>
      </c>
      <c r="G64" s="289">
        <f t="shared" si="15"/>
        <v>0</v>
      </c>
      <c r="H64" s="289">
        <v>0</v>
      </c>
      <c r="I64" s="289">
        <v>0</v>
      </c>
    </row>
    <row r="65" spans="1:9" ht="18.75" x14ac:dyDescent="0.2">
      <c r="A65" s="95" t="s">
        <v>198</v>
      </c>
      <c r="B65" s="71" t="s">
        <v>25</v>
      </c>
      <c r="C65" s="289">
        <v>0</v>
      </c>
      <c r="D65" s="289">
        <v>0</v>
      </c>
      <c r="E65" s="289">
        <v>0</v>
      </c>
      <c r="F65" s="289">
        <v>0</v>
      </c>
      <c r="G65" s="289">
        <f t="shared" si="15"/>
        <v>0</v>
      </c>
      <c r="H65" s="289">
        <v>0</v>
      </c>
      <c r="I65" s="289">
        <v>0</v>
      </c>
    </row>
    <row r="66" spans="1:9" ht="20.25" customHeight="1" x14ac:dyDescent="0.2">
      <c r="A66" s="95" t="s">
        <v>47</v>
      </c>
      <c r="B66" s="71" t="s">
        <v>25</v>
      </c>
      <c r="C66" s="289">
        <v>2</v>
      </c>
      <c r="D66" s="289">
        <v>2</v>
      </c>
      <c r="E66" s="289">
        <v>2</v>
      </c>
      <c r="F66" s="289">
        <f t="shared" si="14"/>
        <v>2</v>
      </c>
      <c r="G66" s="289">
        <f t="shared" si="15"/>
        <v>2</v>
      </c>
      <c r="H66" s="289">
        <v>2</v>
      </c>
      <c r="I66" s="289">
        <v>2</v>
      </c>
    </row>
    <row r="67" spans="1:9" ht="18.75" x14ac:dyDescent="0.2">
      <c r="A67" s="95" t="s">
        <v>48</v>
      </c>
      <c r="B67" s="71" t="s">
        <v>25</v>
      </c>
      <c r="C67" s="289">
        <v>3</v>
      </c>
      <c r="D67" s="289">
        <v>3</v>
      </c>
      <c r="E67" s="289">
        <v>3</v>
      </c>
      <c r="F67" s="289">
        <f t="shared" si="14"/>
        <v>3</v>
      </c>
      <c r="G67" s="289">
        <f t="shared" si="15"/>
        <v>3</v>
      </c>
      <c r="H67" s="289">
        <v>3</v>
      </c>
      <c r="I67" s="289">
        <v>3</v>
      </c>
    </row>
    <row r="68" spans="1:9" ht="37.5" x14ac:dyDescent="0.2">
      <c r="A68" s="95" t="s">
        <v>199</v>
      </c>
      <c r="B68" s="71" t="s">
        <v>25</v>
      </c>
      <c r="C68" s="289">
        <v>2</v>
      </c>
      <c r="D68" s="289">
        <v>2</v>
      </c>
      <c r="E68" s="289">
        <v>2</v>
      </c>
      <c r="F68" s="289">
        <f t="shared" si="14"/>
        <v>2</v>
      </c>
      <c r="G68" s="289">
        <f t="shared" si="15"/>
        <v>2</v>
      </c>
      <c r="H68" s="289">
        <v>2</v>
      </c>
      <c r="I68" s="289">
        <v>2</v>
      </c>
    </row>
    <row r="69" spans="1:9" ht="56.25" x14ac:dyDescent="0.2">
      <c r="A69" s="95" t="s">
        <v>200</v>
      </c>
      <c r="B69" s="71" t="s">
        <v>25</v>
      </c>
      <c r="C69" s="289">
        <v>1</v>
      </c>
      <c r="D69" s="289">
        <v>1</v>
      </c>
      <c r="E69" s="289">
        <v>1</v>
      </c>
      <c r="F69" s="289">
        <f t="shared" si="14"/>
        <v>1</v>
      </c>
      <c r="G69" s="289">
        <f t="shared" si="15"/>
        <v>1</v>
      </c>
      <c r="H69" s="289">
        <v>1</v>
      </c>
      <c r="I69" s="289">
        <v>1</v>
      </c>
    </row>
    <row r="70" spans="1:9" ht="18.75" x14ac:dyDescent="0.2">
      <c r="A70" s="95" t="s">
        <v>17</v>
      </c>
      <c r="B70" s="71" t="s">
        <v>25</v>
      </c>
      <c r="C70" s="289">
        <v>3</v>
      </c>
      <c r="D70" s="289">
        <v>3</v>
      </c>
      <c r="E70" s="289">
        <v>3</v>
      </c>
      <c r="F70" s="289">
        <f t="shared" si="14"/>
        <v>3</v>
      </c>
      <c r="G70" s="289">
        <f t="shared" si="15"/>
        <v>3</v>
      </c>
      <c r="H70" s="289">
        <v>3</v>
      </c>
      <c r="I70" s="289">
        <v>3</v>
      </c>
    </row>
    <row r="71" spans="1:9" ht="37.5" x14ac:dyDescent="0.2">
      <c r="A71" s="95" t="s">
        <v>201</v>
      </c>
      <c r="B71" s="71" t="s">
        <v>25</v>
      </c>
      <c r="C71" s="289">
        <v>3</v>
      </c>
      <c r="D71" s="289">
        <v>3</v>
      </c>
      <c r="E71" s="289">
        <v>3</v>
      </c>
      <c r="F71" s="289">
        <v>3</v>
      </c>
      <c r="G71" s="289">
        <f t="shared" si="15"/>
        <v>3</v>
      </c>
      <c r="H71" s="289">
        <v>3</v>
      </c>
      <c r="I71" s="289">
        <v>3</v>
      </c>
    </row>
    <row r="72" spans="1:9" ht="18.75" x14ac:dyDescent="0.2">
      <c r="A72" s="87" t="s">
        <v>239</v>
      </c>
      <c r="B72" s="71" t="s">
        <v>25</v>
      </c>
      <c r="C72" s="289">
        <v>0</v>
      </c>
      <c r="D72" s="289">
        <f t="shared" ref="D72" si="19">C72</f>
        <v>0</v>
      </c>
      <c r="E72" s="289">
        <v>0</v>
      </c>
      <c r="F72" s="289">
        <f t="shared" si="14"/>
        <v>0</v>
      </c>
      <c r="G72" s="289">
        <f t="shared" si="15"/>
        <v>0</v>
      </c>
      <c r="H72" s="289">
        <v>0</v>
      </c>
      <c r="I72" s="289">
        <v>0</v>
      </c>
    </row>
    <row r="73" spans="1:9" ht="18.75" x14ac:dyDescent="0.2">
      <c r="A73" s="87" t="s">
        <v>240</v>
      </c>
      <c r="B73" s="71" t="s">
        <v>25</v>
      </c>
      <c r="C73" s="289">
        <v>0</v>
      </c>
      <c r="D73" s="289">
        <v>0</v>
      </c>
      <c r="E73" s="289">
        <v>0</v>
      </c>
      <c r="F73" s="289">
        <f t="shared" si="14"/>
        <v>0</v>
      </c>
      <c r="G73" s="289">
        <f t="shared" si="15"/>
        <v>0</v>
      </c>
      <c r="H73" s="289">
        <v>0</v>
      </c>
      <c r="I73" s="289">
        <v>0</v>
      </c>
    </row>
    <row r="74" spans="1:9" ht="18.75" x14ac:dyDescent="0.2">
      <c r="A74" s="95" t="s">
        <v>53</v>
      </c>
      <c r="B74" s="71" t="s">
        <v>25</v>
      </c>
      <c r="C74" s="289">
        <v>5</v>
      </c>
      <c r="D74" s="289">
        <v>5</v>
      </c>
      <c r="E74" s="289">
        <v>5</v>
      </c>
      <c r="F74" s="289">
        <f t="shared" si="14"/>
        <v>5</v>
      </c>
      <c r="G74" s="289">
        <f t="shared" si="15"/>
        <v>5</v>
      </c>
      <c r="H74" s="289">
        <v>5</v>
      </c>
      <c r="I74" s="289">
        <v>5</v>
      </c>
    </row>
    <row r="75" spans="1:9" ht="37.5" x14ac:dyDescent="0.2">
      <c r="A75" s="238" t="s">
        <v>76</v>
      </c>
      <c r="B75" s="71" t="s">
        <v>13</v>
      </c>
      <c r="C75" s="284">
        <v>52.8</v>
      </c>
      <c r="D75" s="284">
        <v>53.1</v>
      </c>
      <c r="E75" s="284">
        <v>53.9</v>
      </c>
      <c r="F75" s="284">
        <f t="shared" si="14"/>
        <v>53.9</v>
      </c>
      <c r="G75" s="284">
        <f t="shared" si="15"/>
        <v>53.9</v>
      </c>
      <c r="H75" s="284">
        <v>54.4</v>
      </c>
      <c r="I75" s="284">
        <v>54.4</v>
      </c>
    </row>
    <row r="76" spans="1:9" ht="19.5" x14ac:dyDescent="0.2">
      <c r="A76" s="119" t="s">
        <v>74</v>
      </c>
      <c r="B76" s="71" t="s">
        <v>25</v>
      </c>
      <c r="C76" s="289">
        <v>33</v>
      </c>
      <c r="D76" s="289">
        <v>41</v>
      </c>
      <c r="E76" s="289">
        <v>41</v>
      </c>
      <c r="F76" s="289">
        <f t="shared" si="14"/>
        <v>41</v>
      </c>
      <c r="G76" s="289">
        <f t="shared" si="15"/>
        <v>41</v>
      </c>
      <c r="H76" s="289">
        <v>41</v>
      </c>
      <c r="I76" s="289">
        <v>41</v>
      </c>
    </row>
    <row r="77" spans="1:9" ht="37.5" x14ac:dyDescent="0.2">
      <c r="A77" s="95" t="s">
        <v>84</v>
      </c>
      <c r="B77" s="71"/>
      <c r="C77" s="275">
        <v>0.5</v>
      </c>
      <c r="D77" s="275">
        <v>0.5</v>
      </c>
      <c r="E77" s="275">
        <v>0.5</v>
      </c>
      <c r="F77" s="275">
        <f t="shared" si="14"/>
        <v>0.5</v>
      </c>
      <c r="G77" s="275">
        <f t="shared" si="15"/>
        <v>0.5</v>
      </c>
      <c r="H77" s="284">
        <v>0.5</v>
      </c>
      <c r="I77" s="284">
        <v>0.5</v>
      </c>
    </row>
    <row r="78" spans="1:9" s="48" customFormat="1" ht="18.75" x14ac:dyDescent="0.2">
      <c r="A78" s="95" t="s">
        <v>300</v>
      </c>
      <c r="B78" s="257" t="s">
        <v>25</v>
      </c>
      <c r="C78" s="292">
        <v>387</v>
      </c>
      <c r="D78" s="292">
        <v>399</v>
      </c>
      <c r="E78" s="292">
        <v>441</v>
      </c>
      <c r="F78" s="292">
        <f t="shared" si="14"/>
        <v>441</v>
      </c>
      <c r="G78" s="289">
        <f t="shared" si="15"/>
        <v>441</v>
      </c>
      <c r="H78" s="289">
        <v>502</v>
      </c>
      <c r="I78" s="289">
        <v>528</v>
      </c>
    </row>
    <row r="79" spans="1:9" s="48" customFormat="1" ht="18.75" x14ac:dyDescent="0.2">
      <c r="A79" s="95" t="s">
        <v>67</v>
      </c>
      <c r="B79" s="71"/>
      <c r="C79" s="293">
        <f>C80+C84+C85+C86+C87+C88+C89+C90+C91+C92</f>
        <v>387</v>
      </c>
      <c r="D79" s="294">
        <f t="shared" ref="D79:I79" si="20">D80+D84+D85+D86+D87+D88+D89+D90+D91+D92</f>
        <v>399</v>
      </c>
      <c r="E79" s="294">
        <f t="shared" si="20"/>
        <v>441</v>
      </c>
      <c r="F79" s="294">
        <f t="shared" si="20"/>
        <v>441</v>
      </c>
      <c r="G79" s="294">
        <f t="shared" si="15"/>
        <v>441</v>
      </c>
      <c r="H79" s="294">
        <f t="shared" si="20"/>
        <v>502</v>
      </c>
      <c r="I79" s="295">
        <f t="shared" si="20"/>
        <v>528</v>
      </c>
    </row>
    <row r="80" spans="1:9" s="48" customFormat="1" ht="37.5" x14ac:dyDescent="0.2">
      <c r="A80" s="95" t="s">
        <v>257</v>
      </c>
      <c r="B80" s="71" t="s">
        <v>25</v>
      </c>
      <c r="C80" s="256">
        <v>57</v>
      </c>
      <c r="D80" s="256">
        <v>59</v>
      </c>
      <c r="E80" s="256">
        <v>61</v>
      </c>
      <c r="F80" s="256">
        <v>61</v>
      </c>
      <c r="G80" s="256">
        <f t="shared" si="15"/>
        <v>61</v>
      </c>
      <c r="H80" s="256">
        <v>69</v>
      </c>
      <c r="I80" s="256">
        <v>69</v>
      </c>
    </row>
    <row r="81" spans="1:9" s="48" customFormat="1" ht="37.5" x14ac:dyDescent="0.2">
      <c r="A81" s="95" t="s">
        <v>196</v>
      </c>
      <c r="B81" s="71" t="s">
        <v>25</v>
      </c>
      <c r="C81" s="256">
        <v>57</v>
      </c>
      <c r="D81" s="256">
        <v>59</v>
      </c>
      <c r="E81" s="256">
        <v>61</v>
      </c>
      <c r="F81" s="256">
        <v>61</v>
      </c>
      <c r="G81" s="256">
        <f t="shared" si="15"/>
        <v>61</v>
      </c>
      <c r="H81" s="256">
        <v>69</v>
      </c>
      <c r="I81" s="256">
        <v>69</v>
      </c>
    </row>
    <row r="82" spans="1:9" s="48" customFormat="1" ht="18.75" x14ac:dyDescent="0.2">
      <c r="A82" s="95" t="s">
        <v>197</v>
      </c>
      <c r="B82" s="71" t="s">
        <v>25</v>
      </c>
      <c r="C82" s="256">
        <v>0</v>
      </c>
      <c r="D82" s="256">
        <v>0</v>
      </c>
      <c r="E82" s="256">
        <v>0</v>
      </c>
      <c r="F82" s="256">
        <v>0</v>
      </c>
      <c r="G82" s="256">
        <f t="shared" si="15"/>
        <v>0</v>
      </c>
      <c r="H82" s="256">
        <v>0</v>
      </c>
      <c r="I82" s="256">
        <v>0</v>
      </c>
    </row>
    <row r="83" spans="1:9" s="48" customFormat="1" ht="18.75" x14ac:dyDescent="0.2">
      <c r="A83" s="95" t="s">
        <v>198</v>
      </c>
      <c r="B83" s="71" t="s">
        <v>25</v>
      </c>
      <c r="C83" s="256">
        <v>0</v>
      </c>
      <c r="D83" s="256">
        <v>0</v>
      </c>
      <c r="E83" s="256">
        <v>0</v>
      </c>
      <c r="F83" s="256">
        <v>0</v>
      </c>
      <c r="G83" s="256">
        <f t="shared" si="15"/>
        <v>0</v>
      </c>
      <c r="H83" s="256">
        <v>0</v>
      </c>
      <c r="I83" s="256">
        <v>0</v>
      </c>
    </row>
    <row r="84" spans="1:9" s="48" customFormat="1" ht="18.75" x14ac:dyDescent="0.2">
      <c r="A84" s="95" t="s">
        <v>47</v>
      </c>
      <c r="B84" s="71" t="s">
        <v>25</v>
      </c>
      <c r="C84" s="256">
        <v>0</v>
      </c>
      <c r="D84" s="256">
        <v>0</v>
      </c>
      <c r="E84" s="256">
        <v>0</v>
      </c>
      <c r="F84" s="256">
        <v>0</v>
      </c>
      <c r="G84" s="256">
        <f t="shared" si="15"/>
        <v>0</v>
      </c>
      <c r="H84" s="256">
        <v>0</v>
      </c>
      <c r="I84" s="256">
        <v>0</v>
      </c>
    </row>
    <row r="85" spans="1:9" s="48" customFormat="1" ht="18.75" x14ac:dyDescent="0.2">
      <c r="A85" s="95" t="s">
        <v>48</v>
      </c>
      <c r="B85" s="71" t="s">
        <v>25</v>
      </c>
      <c r="C85" s="256">
        <v>0</v>
      </c>
      <c r="D85" s="256">
        <v>0</v>
      </c>
      <c r="E85" s="256">
        <v>0</v>
      </c>
      <c r="F85" s="256">
        <v>0</v>
      </c>
      <c r="G85" s="256">
        <f t="shared" si="15"/>
        <v>0</v>
      </c>
      <c r="H85" s="256">
        <v>0</v>
      </c>
      <c r="I85" s="256">
        <v>0</v>
      </c>
    </row>
    <row r="86" spans="1:9" s="48" customFormat="1" ht="37.5" x14ac:dyDescent="0.2">
      <c r="A86" s="95" t="s">
        <v>199</v>
      </c>
      <c r="B86" s="71" t="s">
        <v>25</v>
      </c>
      <c r="C86" s="256">
        <v>0</v>
      </c>
      <c r="D86" s="256">
        <v>0</v>
      </c>
      <c r="E86" s="256">
        <v>0</v>
      </c>
      <c r="F86" s="256">
        <v>0</v>
      </c>
      <c r="G86" s="256">
        <f t="shared" si="15"/>
        <v>0</v>
      </c>
      <c r="H86" s="256">
        <v>0</v>
      </c>
      <c r="I86" s="256">
        <v>0</v>
      </c>
    </row>
    <row r="87" spans="1:9" s="48" customFormat="1" ht="56.25" x14ac:dyDescent="0.2">
      <c r="A87" s="95" t="s">
        <v>200</v>
      </c>
      <c r="B87" s="71" t="s">
        <v>25</v>
      </c>
      <c r="C87" s="256">
        <v>0</v>
      </c>
      <c r="D87" s="256">
        <v>0</v>
      </c>
      <c r="E87" s="256">
        <v>0</v>
      </c>
      <c r="F87" s="256">
        <v>0</v>
      </c>
      <c r="G87" s="256">
        <f t="shared" si="15"/>
        <v>0</v>
      </c>
      <c r="H87" s="256">
        <v>0</v>
      </c>
      <c r="I87" s="256">
        <v>0</v>
      </c>
    </row>
    <row r="88" spans="1:9" s="48" customFormat="1" ht="18.75" x14ac:dyDescent="0.2">
      <c r="A88" s="95" t="s">
        <v>17</v>
      </c>
      <c r="B88" s="71" t="s">
        <v>25</v>
      </c>
      <c r="C88" s="256">
        <v>0</v>
      </c>
      <c r="D88" s="256">
        <v>0</v>
      </c>
      <c r="E88" s="256">
        <v>0</v>
      </c>
      <c r="F88" s="256">
        <v>0</v>
      </c>
      <c r="G88" s="256">
        <f t="shared" si="15"/>
        <v>0</v>
      </c>
      <c r="H88" s="256">
        <v>0</v>
      </c>
      <c r="I88" s="256">
        <v>0</v>
      </c>
    </row>
    <row r="89" spans="1:9" s="48" customFormat="1" ht="37.5" x14ac:dyDescent="0.2">
      <c r="A89" s="95" t="s">
        <v>201</v>
      </c>
      <c r="B89" s="71" t="s">
        <v>25</v>
      </c>
      <c r="C89" s="256">
        <v>261</v>
      </c>
      <c r="D89" s="256">
        <v>264</v>
      </c>
      <c r="E89" s="256">
        <v>274</v>
      </c>
      <c r="F89" s="256">
        <v>274</v>
      </c>
      <c r="G89" s="256">
        <f t="shared" si="15"/>
        <v>274</v>
      </c>
      <c r="H89" s="256">
        <v>302</v>
      </c>
      <c r="I89" s="256">
        <v>324</v>
      </c>
    </row>
    <row r="90" spans="1:9" s="48" customFormat="1" ht="18.75" x14ac:dyDescent="0.2">
      <c r="A90" s="87" t="s">
        <v>239</v>
      </c>
      <c r="B90" s="71" t="s">
        <v>25</v>
      </c>
      <c r="C90" s="256">
        <v>0</v>
      </c>
      <c r="D90" s="256">
        <v>0</v>
      </c>
      <c r="E90" s="256">
        <v>0</v>
      </c>
      <c r="F90" s="256">
        <v>0</v>
      </c>
      <c r="G90" s="256">
        <f t="shared" si="15"/>
        <v>0</v>
      </c>
      <c r="H90" s="256">
        <v>0</v>
      </c>
      <c r="I90" s="256">
        <v>0</v>
      </c>
    </row>
    <row r="91" spans="1:9" s="48" customFormat="1" ht="18.75" x14ac:dyDescent="0.2">
      <c r="A91" s="87" t="s">
        <v>240</v>
      </c>
      <c r="B91" s="71" t="s">
        <v>25</v>
      </c>
      <c r="C91" s="256">
        <v>0</v>
      </c>
      <c r="D91" s="256">
        <v>0</v>
      </c>
      <c r="E91" s="256">
        <v>0</v>
      </c>
      <c r="F91" s="256">
        <v>0</v>
      </c>
      <c r="G91" s="256">
        <f t="shared" si="15"/>
        <v>0</v>
      </c>
      <c r="H91" s="256">
        <v>0</v>
      </c>
      <c r="I91" s="256">
        <v>0</v>
      </c>
    </row>
    <row r="92" spans="1:9" s="48" customFormat="1" ht="18.75" x14ac:dyDescent="0.2">
      <c r="A92" s="95" t="s">
        <v>53</v>
      </c>
      <c r="B92" s="71" t="s">
        <v>25</v>
      </c>
      <c r="C92" s="256">
        <v>69</v>
      </c>
      <c r="D92" s="256">
        <v>76</v>
      </c>
      <c r="E92" s="256">
        <v>106</v>
      </c>
      <c r="F92" s="256">
        <v>106</v>
      </c>
      <c r="G92" s="256">
        <f t="shared" si="15"/>
        <v>106</v>
      </c>
      <c r="H92" s="256">
        <v>131</v>
      </c>
      <c r="I92" s="256">
        <v>135</v>
      </c>
    </row>
    <row r="93" spans="1:9" s="48" customFormat="1" ht="37.5" x14ac:dyDescent="0.2">
      <c r="A93" s="238" t="s">
        <v>76</v>
      </c>
      <c r="B93" s="71" t="s">
        <v>13</v>
      </c>
      <c r="C93" s="256">
        <v>49.3</v>
      </c>
      <c r="D93" s="256">
        <v>50.7</v>
      </c>
      <c r="E93" s="256">
        <v>40.6</v>
      </c>
      <c r="F93" s="256">
        <v>41.3</v>
      </c>
      <c r="G93" s="253">
        <f t="shared" si="15"/>
        <v>41.3</v>
      </c>
      <c r="H93" s="256">
        <v>43.5</v>
      </c>
      <c r="I93" s="253">
        <v>44.8</v>
      </c>
    </row>
    <row r="94" spans="1:9" ht="39" x14ac:dyDescent="0.2">
      <c r="A94" s="111" t="s">
        <v>5</v>
      </c>
      <c r="B94" s="78" t="s">
        <v>11</v>
      </c>
      <c r="C94" s="294">
        <v>148322</v>
      </c>
      <c r="D94" s="294">
        <v>149622.70000000001</v>
      </c>
      <c r="E94" s="294">
        <v>151524.1</v>
      </c>
      <c r="F94" s="294">
        <f t="shared" ref="F94" si="21">E94</f>
        <v>151524.1</v>
      </c>
      <c r="G94" s="294">
        <f t="shared" si="15"/>
        <v>151524.1</v>
      </c>
      <c r="H94" s="294">
        <v>158635</v>
      </c>
      <c r="I94" s="366">
        <v>161328.20000000001</v>
      </c>
    </row>
    <row r="95" spans="1:9" ht="18.75" x14ac:dyDescent="0.2">
      <c r="A95" s="377" t="s">
        <v>136</v>
      </c>
      <c r="B95" s="378"/>
      <c r="C95" s="378"/>
      <c r="D95" s="378"/>
      <c r="E95" s="378"/>
      <c r="F95" s="378"/>
      <c r="G95" s="378"/>
      <c r="H95" s="378"/>
      <c r="I95" s="379"/>
    </row>
    <row r="96" spans="1:9" ht="19.5" x14ac:dyDescent="0.2">
      <c r="A96" s="108" t="s">
        <v>137</v>
      </c>
      <c r="B96" s="81" t="s">
        <v>27</v>
      </c>
      <c r="C96" s="296">
        <v>27348</v>
      </c>
      <c r="D96" s="296">
        <v>27094</v>
      </c>
      <c r="E96" s="296">
        <v>26414</v>
      </c>
      <c r="F96" s="297">
        <v>26663</v>
      </c>
      <c r="G96" s="298">
        <f t="shared" ref="G96:G159" si="22">F96</f>
        <v>26663</v>
      </c>
      <c r="H96" s="298">
        <v>26893</v>
      </c>
      <c r="I96" s="298">
        <v>27011</v>
      </c>
    </row>
    <row r="97" spans="1:9" ht="39" x14ac:dyDescent="0.2">
      <c r="A97" s="108" t="s">
        <v>78</v>
      </c>
      <c r="B97" s="81" t="s">
        <v>27</v>
      </c>
      <c r="C97" s="299">
        <f>C99+C102+C103+C104+C105+C106+C107+C108+C109+C110+C111+C112+C113+C114</f>
        <v>6.4090000000000007</v>
      </c>
      <c r="D97" s="299">
        <f t="shared" ref="D97:I97" si="23">D99+D102+D103+D104+D105+D106+D107+D108+D109+D110+D111+D112+D113+D114</f>
        <v>5.8090000000000002</v>
      </c>
      <c r="E97" s="299">
        <f t="shared" si="23"/>
        <v>5.7490000000000006</v>
      </c>
      <c r="F97" s="299">
        <f t="shared" si="23"/>
        <v>5.7750000000000004</v>
      </c>
      <c r="G97" s="299">
        <f t="shared" si="22"/>
        <v>5.7750000000000004</v>
      </c>
      <c r="H97" s="299">
        <f t="shared" si="23"/>
        <v>6.0109999999999992</v>
      </c>
      <c r="I97" s="299">
        <f t="shared" si="23"/>
        <v>6.0670000000000002</v>
      </c>
    </row>
    <row r="98" spans="1:9" ht="19.5" x14ac:dyDescent="0.2">
      <c r="A98" s="84" t="s">
        <v>28</v>
      </c>
      <c r="B98" s="71"/>
      <c r="C98" s="278" t="s">
        <v>342</v>
      </c>
      <c r="D98" s="278" t="s">
        <v>342</v>
      </c>
      <c r="E98" s="277" t="str">
        <f t="shared" ref="E98:E141" si="24">D98</f>
        <v xml:space="preserve"> </v>
      </c>
      <c r="F98" s="278" t="s">
        <v>342</v>
      </c>
      <c r="G98" s="277" t="str">
        <f t="shared" si="22"/>
        <v xml:space="preserve"> </v>
      </c>
      <c r="H98" s="277"/>
      <c r="I98" s="277"/>
    </row>
    <row r="99" spans="1:9" ht="37.5" x14ac:dyDescent="0.3">
      <c r="A99" s="98" t="s">
        <v>257</v>
      </c>
      <c r="B99" s="71" t="s">
        <v>27</v>
      </c>
      <c r="C99" s="278">
        <f t="shared" ref="C99:I99" si="25">C100+C101</f>
        <v>0.30800000000000005</v>
      </c>
      <c r="D99" s="278">
        <v>0.29399999999999998</v>
      </c>
      <c r="E99" s="278">
        <f t="shared" si="25"/>
        <v>0.28400000000000003</v>
      </c>
      <c r="F99" s="278">
        <f t="shared" si="25"/>
        <v>0.29800000000000004</v>
      </c>
      <c r="G99" s="278">
        <f t="shared" si="22"/>
        <v>0.29800000000000004</v>
      </c>
      <c r="H99" s="278">
        <f t="shared" si="25"/>
        <v>0.30400000000000005</v>
      </c>
      <c r="I99" s="278">
        <f t="shared" si="25"/>
        <v>0.30700000000000005</v>
      </c>
    </row>
    <row r="100" spans="1:9" ht="37.5" x14ac:dyDescent="0.2">
      <c r="A100" s="85" t="s">
        <v>196</v>
      </c>
      <c r="B100" s="71" t="s">
        <v>27</v>
      </c>
      <c r="C100" s="278">
        <v>0.28000000000000003</v>
      </c>
      <c r="D100" s="278">
        <v>0.26800000000000002</v>
      </c>
      <c r="E100" s="278">
        <v>0.25800000000000001</v>
      </c>
      <c r="F100" s="278">
        <v>0.27200000000000002</v>
      </c>
      <c r="G100" s="278">
        <f t="shared" si="22"/>
        <v>0.27200000000000002</v>
      </c>
      <c r="H100" s="278">
        <v>0.27800000000000002</v>
      </c>
      <c r="I100" s="278">
        <v>0.28100000000000003</v>
      </c>
    </row>
    <row r="101" spans="1:9" ht="18.75" x14ac:dyDescent="0.3">
      <c r="A101" s="99" t="s">
        <v>197</v>
      </c>
      <c r="B101" s="71" t="s">
        <v>27</v>
      </c>
      <c r="C101" s="278">
        <v>2.8000000000000001E-2</v>
      </c>
      <c r="D101" s="278">
        <v>2.7E-2</v>
      </c>
      <c r="E101" s="278">
        <v>2.5999999999999999E-2</v>
      </c>
      <c r="F101" s="278">
        <f t="shared" ref="F101:F115" si="26">E101</f>
        <v>2.5999999999999999E-2</v>
      </c>
      <c r="G101" s="278">
        <f t="shared" si="22"/>
        <v>2.5999999999999999E-2</v>
      </c>
      <c r="H101" s="278">
        <v>2.5999999999999999E-2</v>
      </c>
      <c r="I101" s="278">
        <v>2.5999999999999999E-2</v>
      </c>
    </row>
    <row r="102" spans="1:9" ht="18.75" x14ac:dyDescent="0.3">
      <c r="A102" s="99" t="s">
        <v>198</v>
      </c>
      <c r="B102" s="71" t="s">
        <v>27</v>
      </c>
      <c r="C102" s="300">
        <v>0</v>
      </c>
      <c r="D102" s="300">
        <v>0</v>
      </c>
      <c r="E102" s="300">
        <f t="shared" si="24"/>
        <v>0</v>
      </c>
      <c r="F102" s="300">
        <f t="shared" si="26"/>
        <v>0</v>
      </c>
      <c r="G102" s="300">
        <f t="shared" si="22"/>
        <v>0</v>
      </c>
      <c r="H102" s="300">
        <v>0</v>
      </c>
      <c r="I102" s="278"/>
    </row>
    <row r="103" spans="1:9" ht="18.75" x14ac:dyDescent="0.3">
      <c r="A103" s="99" t="s">
        <v>47</v>
      </c>
      <c r="B103" s="71" t="s">
        <v>27</v>
      </c>
      <c r="C103" s="278">
        <v>0.55000000000000004</v>
      </c>
      <c r="D103" s="278">
        <v>0.499</v>
      </c>
      <c r="E103" s="278">
        <v>0.47799999999999998</v>
      </c>
      <c r="F103" s="278">
        <v>0.48599999999999999</v>
      </c>
      <c r="G103" s="278">
        <f t="shared" si="22"/>
        <v>0.48599999999999999</v>
      </c>
      <c r="H103" s="278">
        <v>0.501</v>
      </c>
      <c r="I103" s="278">
        <v>0.501</v>
      </c>
    </row>
    <row r="104" spans="1:9" ht="18.75" x14ac:dyDescent="0.3">
      <c r="A104" s="99" t="s">
        <v>48</v>
      </c>
      <c r="B104" s="71" t="s">
        <v>27</v>
      </c>
      <c r="C104" s="278">
        <v>1.7999999999999999E-2</v>
      </c>
      <c r="D104" s="278">
        <v>1.4999999999999999E-2</v>
      </c>
      <c r="E104" s="278">
        <v>1.6E-2</v>
      </c>
      <c r="F104" s="278">
        <v>0.02</v>
      </c>
      <c r="G104" s="278">
        <f t="shared" si="22"/>
        <v>0.02</v>
      </c>
      <c r="H104" s="278">
        <v>0.02</v>
      </c>
      <c r="I104" s="278">
        <v>0.02</v>
      </c>
    </row>
    <row r="105" spans="1:9" ht="37.5" x14ac:dyDescent="0.2">
      <c r="A105" s="86" t="s">
        <v>199</v>
      </c>
      <c r="B105" s="71" t="s">
        <v>27</v>
      </c>
      <c r="C105" s="278">
        <v>8.7999999999999995E-2</v>
      </c>
      <c r="D105" s="278">
        <v>8.4000000000000005E-2</v>
      </c>
      <c r="E105" s="278">
        <v>7.9000000000000001E-2</v>
      </c>
      <c r="F105" s="278">
        <f t="shared" si="26"/>
        <v>7.9000000000000001E-2</v>
      </c>
      <c r="G105" s="278">
        <f t="shared" si="22"/>
        <v>7.9000000000000001E-2</v>
      </c>
      <c r="H105" s="278">
        <v>7.9000000000000001E-2</v>
      </c>
      <c r="I105" s="278">
        <v>7.9000000000000001E-2</v>
      </c>
    </row>
    <row r="106" spans="1:9" ht="18.75" x14ac:dyDescent="0.3">
      <c r="A106" s="99" t="s">
        <v>200</v>
      </c>
      <c r="B106" s="71" t="s">
        <v>27</v>
      </c>
      <c r="C106" s="278">
        <v>0.05</v>
      </c>
      <c r="D106" s="278">
        <v>4.2999999999999997E-2</v>
      </c>
      <c r="E106" s="278">
        <v>4.2999999999999997E-2</v>
      </c>
      <c r="F106" s="278">
        <v>4.2999999999999997E-2</v>
      </c>
      <c r="G106" s="278">
        <f t="shared" si="22"/>
        <v>4.2999999999999997E-2</v>
      </c>
      <c r="H106" s="278">
        <v>4.2999999999999997E-2</v>
      </c>
      <c r="I106" s="278">
        <v>4.2999999999999997E-2</v>
      </c>
    </row>
    <row r="107" spans="1:9" ht="18.75" x14ac:dyDescent="0.3">
      <c r="A107" s="99" t="s">
        <v>17</v>
      </c>
      <c r="B107" s="71" t="s">
        <v>27</v>
      </c>
      <c r="C107" s="278">
        <v>5.0999999999999997E-2</v>
      </c>
      <c r="D107" s="278">
        <v>5.2999999999999999E-2</v>
      </c>
      <c r="E107" s="278">
        <v>4.2000000000000003E-2</v>
      </c>
      <c r="F107" s="278">
        <v>4.2000000000000003E-2</v>
      </c>
      <c r="G107" s="278">
        <f t="shared" si="22"/>
        <v>4.2000000000000003E-2</v>
      </c>
      <c r="H107" s="278">
        <v>4.2000000000000003E-2</v>
      </c>
      <c r="I107" s="278">
        <v>4.2000000000000003E-2</v>
      </c>
    </row>
    <row r="108" spans="1:9" ht="37.5" x14ac:dyDescent="0.2">
      <c r="A108" s="85" t="s">
        <v>201</v>
      </c>
      <c r="B108" s="71" t="s">
        <v>27</v>
      </c>
      <c r="C108" s="275">
        <v>0.33900000000000002</v>
      </c>
      <c r="D108" s="275">
        <v>0.32800000000000001</v>
      </c>
      <c r="E108" s="275">
        <v>0.32700000000000001</v>
      </c>
      <c r="F108" s="275">
        <f t="shared" si="26"/>
        <v>0.32700000000000001</v>
      </c>
      <c r="G108" s="275">
        <f t="shared" si="22"/>
        <v>0.32700000000000001</v>
      </c>
      <c r="H108" s="275">
        <v>0.372</v>
      </c>
      <c r="I108" s="278">
        <v>0.38100000000000001</v>
      </c>
    </row>
    <row r="109" spans="1:9" ht="18.75" x14ac:dyDescent="0.2">
      <c r="A109" s="87" t="s">
        <v>239</v>
      </c>
      <c r="B109" s="71" t="s">
        <v>27</v>
      </c>
      <c r="C109" s="278">
        <v>0.27</v>
      </c>
      <c r="D109" s="278">
        <v>0.27400000000000002</v>
      </c>
      <c r="E109" s="278">
        <v>0.26300000000000001</v>
      </c>
      <c r="F109" s="278">
        <f t="shared" si="26"/>
        <v>0.26300000000000001</v>
      </c>
      <c r="G109" s="278">
        <f t="shared" si="22"/>
        <v>0.26300000000000001</v>
      </c>
      <c r="H109" s="278">
        <v>0.27500000000000002</v>
      </c>
      <c r="I109" s="278">
        <v>0.29099999999999998</v>
      </c>
    </row>
    <row r="110" spans="1:9" ht="18.75" x14ac:dyDescent="0.2">
      <c r="A110" s="87" t="s">
        <v>240</v>
      </c>
      <c r="B110" s="71" t="s">
        <v>27</v>
      </c>
      <c r="C110" s="278">
        <v>3.5999999999999997E-2</v>
      </c>
      <c r="D110" s="278">
        <v>3.5999999999999997E-2</v>
      </c>
      <c r="E110" s="278">
        <v>3.6999999999999998E-2</v>
      </c>
      <c r="F110" s="278">
        <f t="shared" si="26"/>
        <v>3.6999999999999998E-2</v>
      </c>
      <c r="G110" s="278">
        <f t="shared" si="22"/>
        <v>3.6999999999999998E-2</v>
      </c>
      <c r="H110" s="278">
        <v>3.6999999999999998E-2</v>
      </c>
      <c r="I110" s="278">
        <v>3.6999999999999998E-2</v>
      </c>
    </row>
    <row r="111" spans="1:9" ht="37.5" x14ac:dyDescent="0.2">
      <c r="A111" s="86" t="s">
        <v>46</v>
      </c>
      <c r="B111" s="71" t="s">
        <v>27</v>
      </c>
      <c r="C111" s="278">
        <v>0.438</v>
      </c>
      <c r="D111" s="278">
        <v>0.42799999999999999</v>
      </c>
      <c r="E111" s="278">
        <v>0.497</v>
      </c>
      <c r="F111" s="278">
        <f t="shared" si="26"/>
        <v>0.497</v>
      </c>
      <c r="G111" s="278">
        <f t="shared" si="22"/>
        <v>0.497</v>
      </c>
      <c r="H111" s="278">
        <v>0.501</v>
      </c>
      <c r="I111" s="278">
        <v>0.52200000000000002</v>
      </c>
    </row>
    <row r="112" spans="1:9" ht="18.75" x14ac:dyDescent="0.3">
      <c r="A112" s="99" t="s">
        <v>50</v>
      </c>
      <c r="B112" s="71" t="s">
        <v>27</v>
      </c>
      <c r="C112" s="278">
        <v>1.6120000000000001</v>
      </c>
      <c r="D112" s="301">
        <v>1.3220000000000001</v>
      </c>
      <c r="E112" s="278">
        <v>1.3779999999999999</v>
      </c>
      <c r="F112" s="278">
        <f t="shared" si="26"/>
        <v>1.3779999999999999</v>
      </c>
      <c r="G112" s="278">
        <f t="shared" si="22"/>
        <v>1.3779999999999999</v>
      </c>
      <c r="H112" s="278">
        <v>1.4950000000000001</v>
      </c>
      <c r="I112" s="278">
        <v>1.496</v>
      </c>
    </row>
    <row r="113" spans="1:9" ht="18.75" x14ac:dyDescent="0.3">
      <c r="A113" s="99" t="s">
        <v>51</v>
      </c>
      <c r="B113" s="71" t="s">
        <v>27</v>
      </c>
      <c r="C113" s="278">
        <v>1.0209999999999999</v>
      </c>
      <c r="D113" s="301">
        <v>1.0880000000000001</v>
      </c>
      <c r="E113" s="278">
        <v>1.0720000000000001</v>
      </c>
      <c r="F113" s="278">
        <f t="shared" si="26"/>
        <v>1.0720000000000001</v>
      </c>
      <c r="G113" s="278">
        <f t="shared" si="22"/>
        <v>1.0720000000000001</v>
      </c>
      <c r="H113" s="278">
        <v>1.101</v>
      </c>
      <c r="I113" s="278">
        <v>1.107</v>
      </c>
    </row>
    <row r="114" spans="1:9" ht="18.75" x14ac:dyDescent="0.3">
      <c r="A114" s="99" t="s">
        <v>53</v>
      </c>
      <c r="B114" s="71" t="s">
        <v>27</v>
      </c>
      <c r="C114" s="278">
        <v>1.6279999999999999</v>
      </c>
      <c r="D114" s="278">
        <v>1.345</v>
      </c>
      <c r="E114" s="278">
        <v>1.2330000000000001</v>
      </c>
      <c r="F114" s="278">
        <f t="shared" si="26"/>
        <v>1.2330000000000001</v>
      </c>
      <c r="G114" s="278">
        <f t="shared" si="22"/>
        <v>1.2330000000000001</v>
      </c>
      <c r="H114" s="278">
        <v>1.2410000000000001</v>
      </c>
      <c r="I114" s="278">
        <v>1.2410000000000001</v>
      </c>
    </row>
    <row r="115" spans="1:9" ht="54.75" customHeight="1" x14ac:dyDescent="0.3">
      <c r="A115" s="101" t="s">
        <v>57</v>
      </c>
      <c r="B115" s="71" t="s">
        <v>27</v>
      </c>
      <c r="C115" s="278">
        <v>1.022</v>
      </c>
      <c r="D115" s="278">
        <v>1.0389999999999999</v>
      </c>
      <c r="E115" s="278">
        <v>1.08</v>
      </c>
      <c r="F115" s="278">
        <f t="shared" si="26"/>
        <v>1.08</v>
      </c>
      <c r="G115" s="278">
        <f t="shared" si="22"/>
        <v>1.08</v>
      </c>
      <c r="H115" s="278">
        <v>1.08</v>
      </c>
      <c r="I115" s="278">
        <v>1.08</v>
      </c>
    </row>
    <row r="116" spans="1:9" ht="18.75" x14ac:dyDescent="0.3">
      <c r="A116" s="102" t="s">
        <v>52</v>
      </c>
      <c r="B116" s="71"/>
      <c r="C116" s="279"/>
      <c r="D116" s="279"/>
      <c r="E116" s="279"/>
      <c r="F116" s="279"/>
      <c r="G116" s="278" t="s">
        <v>342</v>
      </c>
      <c r="H116" s="279"/>
      <c r="I116" s="279"/>
    </row>
    <row r="117" spans="1:9" ht="37.5" x14ac:dyDescent="0.2">
      <c r="A117" s="216" t="s">
        <v>254</v>
      </c>
      <c r="B117" s="71" t="s">
        <v>27</v>
      </c>
      <c r="C117" s="278">
        <v>0.27300000000000002</v>
      </c>
      <c r="D117" s="278">
        <v>0.26800000000000002</v>
      </c>
      <c r="E117" s="278">
        <v>0.22700000000000001</v>
      </c>
      <c r="F117" s="278">
        <v>0.23599999999999999</v>
      </c>
      <c r="G117" s="278">
        <f t="shared" si="22"/>
        <v>0.23599999999999999</v>
      </c>
      <c r="H117" s="278">
        <v>0.23599999999999999</v>
      </c>
      <c r="I117" s="278">
        <v>0.23599999999999999</v>
      </c>
    </row>
    <row r="118" spans="1:9" ht="18.75" x14ac:dyDescent="0.3">
      <c r="A118" s="217" t="s">
        <v>241</v>
      </c>
      <c r="B118" s="71" t="s">
        <v>27</v>
      </c>
      <c r="C118" s="278">
        <v>2.4E-2</v>
      </c>
      <c r="D118" s="278">
        <v>2.4E-2</v>
      </c>
      <c r="E118" s="278">
        <f t="shared" si="24"/>
        <v>2.4E-2</v>
      </c>
      <c r="F118" s="278">
        <v>2.4E-2</v>
      </c>
      <c r="G118" s="278">
        <f t="shared" si="22"/>
        <v>2.4E-2</v>
      </c>
      <c r="H118" s="278">
        <v>2.4E-2</v>
      </c>
      <c r="I118" s="278">
        <v>2.4E-2</v>
      </c>
    </row>
    <row r="119" spans="1:9" ht="18.75" x14ac:dyDescent="0.3">
      <c r="A119" s="218" t="s">
        <v>149</v>
      </c>
      <c r="B119" s="71" t="s">
        <v>26</v>
      </c>
      <c r="C119" s="73" t="s">
        <v>342</v>
      </c>
      <c r="D119" s="73"/>
      <c r="E119" s="279" t="s">
        <v>342</v>
      </c>
      <c r="F119" s="73"/>
      <c r="G119" s="277" t="s">
        <v>342</v>
      </c>
      <c r="H119" s="73"/>
      <c r="I119" s="279"/>
    </row>
    <row r="120" spans="1:9" ht="56.25" x14ac:dyDescent="0.3">
      <c r="A120" s="103" t="s">
        <v>77</v>
      </c>
      <c r="B120" s="71" t="s">
        <v>27</v>
      </c>
      <c r="C120" s="278">
        <v>2.109</v>
      </c>
      <c r="D120" s="278">
        <v>2.1429999999999998</v>
      </c>
      <c r="E120" s="278">
        <v>2.1890000000000001</v>
      </c>
      <c r="F120" s="278">
        <v>2.2210000000000001</v>
      </c>
      <c r="G120" s="278">
        <f t="shared" si="22"/>
        <v>2.2210000000000001</v>
      </c>
      <c r="H120" s="278">
        <v>2.2690000000000001</v>
      </c>
      <c r="I120" s="278">
        <v>2.3879999999999999</v>
      </c>
    </row>
    <row r="121" spans="1:9" ht="19.5" x14ac:dyDescent="0.2">
      <c r="A121" s="84" t="s">
        <v>28</v>
      </c>
      <c r="B121" s="71"/>
      <c r="C121" s="278" t="s">
        <v>342</v>
      </c>
      <c r="D121" s="278"/>
      <c r="E121" s="278" t="s">
        <v>342</v>
      </c>
      <c r="F121" s="278"/>
      <c r="G121" s="278" t="s">
        <v>342</v>
      </c>
      <c r="H121" s="278"/>
      <c r="I121" s="278"/>
    </row>
    <row r="122" spans="1:9" ht="37.5" x14ac:dyDescent="0.3">
      <c r="A122" s="104" t="s">
        <v>257</v>
      </c>
      <c r="B122" s="71" t="s">
        <v>27</v>
      </c>
      <c r="C122" s="278">
        <f>C123+C124</f>
        <v>0.28000000000000003</v>
      </c>
      <c r="D122" s="278">
        <f t="shared" ref="D122:I122" si="27">D123+D124</f>
        <v>0.26800000000000002</v>
      </c>
      <c r="E122" s="278">
        <f t="shared" si="27"/>
        <v>0.26100000000000001</v>
      </c>
      <c r="F122" s="278">
        <f t="shared" si="27"/>
        <v>0.27200000000000002</v>
      </c>
      <c r="G122" s="278">
        <f t="shared" si="27"/>
        <v>0.27200000000000002</v>
      </c>
      <c r="H122" s="278">
        <f t="shared" si="27"/>
        <v>0.27800000000000002</v>
      </c>
      <c r="I122" s="278">
        <f t="shared" si="27"/>
        <v>0.28100000000000003</v>
      </c>
    </row>
    <row r="123" spans="1:9" ht="37.5" x14ac:dyDescent="0.2">
      <c r="A123" s="105" t="s">
        <v>196</v>
      </c>
      <c r="B123" s="71" t="s">
        <v>26</v>
      </c>
      <c r="C123" s="278">
        <v>0.28000000000000003</v>
      </c>
      <c r="D123" s="278">
        <v>0.26800000000000002</v>
      </c>
      <c r="E123" s="278">
        <v>0.26100000000000001</v>
      </c>
      <c r="F123" s="278">
        <v>0.27200000000000002</v>
      </c>
      <c r="G123" s="278">
        <f t="shared" si="22"/>
        <v>0.27200000000000002</v>
      </c>
      <c r="H123" s="278">
        <v>0.27800000000000002</v>
      </c>
      <c r="I123" s="278">
        <v>0.28100000000000003</v>
      </c>
    </row>
    <row r="124" spans="1:9" ht="18.75" x14ac:dyDescent="0.3">
      <c r="A124" s="106" t="s">
        <v>197</v>
      </c>
      <c r="B124" s="71" t="s">
        <v>27</v>
      </c>
      <c r="C124" s="300">
        <v>0</v>
      </c>
      <c r="D124" s="300">
        <v>0</v>
      </c>
      <c r="E124" s="300">
        <f t="shared" si="24"/>
        <v>0</v>
      </c>
      <c r="F124" s="300">
        <v>0</v>
      </c>
      <c r="G124" s="300">
        <f t="shared" si="22"/>
        <v>0</v>
      </c>
      <c r="H124" s="300">
        <v>0</v>
      </c>
      <c r="I124" s="300">
        <v>0</v>
      </c>
    </row>
    <row r="125" spans="1:9" ht="18.75" x14ac:dyDescent="0.3">
      <c r="A125" s="106" t="s">
        <v>198</v>
      </c>
      <c r="B125" s="71" t="s">
        <v>27</v>
      </c>
      <c r="C125" s="300">
        <v>0</v>
      </c>
      <c r="D125" s="300">
        <v>0</v>
      </c>
      <c r="E125" s="300">
        <f t="shared" si="24"/>
        <v>0</v>
      </c>
      <c r="F125" s="300">
        <v>0</v>
      </c>
      <c r="G125" s="300">
        <f t="shared" si="22"/>
        <v>0</v>
      </c>
      <c r="H125" s="300">
        <v>0</v>
      </c>
      <c r="I125" s="300">
        <v>0</v>
      </c>
    </row>
    <row r="126" spans="1:9" ht="24" customHeight="1" x14ac:dyDescent="0.2">
      <c r="A126" s="87" t="s">
        <v>47</v>
      </c>
      <c r="B126" s="71" t="s">
        <v>27</v>
      </c>
      <c r="C126" s="278">
        <v>1.2999999999999999E-2</v>
      </c>
      <c r="D126" s="278">
        <v>1.2E-2</v>
      </c>
      <c r="E126" s="278">
        <f t="shared" si="24"/>
        <v>1.2E-2</v>
      </c>
      <c r="F126" s="278">
        <v>1.2E-2</v>
      </c>
      <c r="G126" s="278">
        <f t="shared" si="22"/>
        <v>1.2E-2</v>
      </c>
      <c r="H126" s="278">
        <v>1.2E-2</v>
      </c>
      <c r="I126" s="278">
        <v>1.2E-2</v>
      </c>
    </row>
    <row r="127" spans="1:9" ht="18.75" x14ac:dyDescent="0.3">
      <c r="A127" s="106" t="s">
        <v>48</v>
      </c>
      <c r="B127" s="71" t="s">
        <v>26</v>
      </c>
      <c r="C127" s="278">
        <v>1.7999999999999999E-2</v>
      </c>
      <c r="D127" s="278">
        <v>1.4999999999999999E-2</v>
      </c>
      <c r="E127" s="278">
        <v>1.6E-2</v>
      </c>
      <c r="F127" s="278">
        <v>0.02</v>
      </c>
      <c r="G127" s="278">
        <f t="shared" si="22"/>
        <v>0.02</v>
      </c>
      <c r="H127" s="278">
        <v>0.02</v>
      </c>
      <c r="I127" s="278">
        <v>0.02</v>
      </c>
    </row>
    <row r="128" spans="1:9" ht="37.5" x14ac:dyDescent="0.2">
      <c r="A128" s="107" t="s">
        <v>199</v>
      </c>
      <c r="B128" s="71" t="s">
        <v>26</v>
      </c>
      <c r="C128" s="278">
        <v>8.6999999999999994E-2</v>
      </c>
      <c r="D128" s="278">
        <v>8.4000000000000005E-2</v>
      </c>
      <c r="E128" s="278">
        <v>7.9000000000000001E-2</v>
      </c>
      <c r="F128" s="278">
        <f t="shared" ref="F128" si="28">E128</f>
        <v>7.9000000000000001E-2</v>
      </c>
      <c r="G128" s="278">
        <f t="shared" si="22"/>
        <v>7.9000000000000001E-2</v>
      </c>
      <c r="H128" s="278">
        <v>7.9000000000000001E-2</v>
      </c>
      <c r="I128" s="278">
        <v>7.9000000000000001E-2</v>
      </c>
    </row>
    <row r="129" spans="1:9" ht="56.25" x14ac:dyDescent="0.3">
      <c r="A129" s="106" t="s">
        <v>200</v>
      </c>
      <c r="B129" s="71" t="s">
        <v>26</v>
      </c>
      <c r="C129" s="278">
        <v>1.4E-2</v>
      </c>
      <c r="D129" s="278">
        <v>1.7000000000000001E-2</v>
      </c>
      <c r="E129" s="278">
        <v>1.7000000000000001E-2</v>
      </c>
      <c r="F129" s="278">
        <v>1.7000000000000001E-2</v>
      </c>
      <c r="G129" s="278">
        <f t="shared" si="22"/>
        <v>1.7000000000000001E-2</v>
      </c>
      <c r="H129" s="278">
        <v>1.7000000000000001E-2</v>
      </c>
      <c r="I129" s="278">
        <v>1.7000000000000001E-2</v>
      </c>
    </row>
    <row r="130" spans="1:9" ht="18.75" x14ac:dyDescent="0.3">
      <c r="A130" s="106" t="s">
        <v>17</v>
      </c>
      <c r="B130" s="71" t="s">
        <v>26</v>
      </c>
      <c r="C130" s="278">
        <v>5.0999999999999997E-2</v>
      </c>
      <c r="D130" s="278">
        <v>5.2999999999999999E-2</v>
      </c>
      <c r="E130" s="278">
        <v>4.2000000000000003E-2</v>
      </c>
      <c r="F130" s="278">
        <v>4.2000000000000003E-2</v>
      </c>
      <c r="G130" s="278">
        <f t="shared" si="22"/>
        <v>4.2000000000000003E-2</v>
      </c>
      <c r="H130" s="278">
        <v>4.2000000000000003E-2</v>
      </c>
      <c r="I130" s="278">
        <v>4.2000000000000003E-2</v>
      </c>
    </row>
    <row r="131" spans="1:9" ht="37.5" x14ac:dyDescent="0.3">
      <c r="A131" s="106" t="s">
        <v>201</v>
      </c>
      <c r="B131" s="71" t="s">
        <v>26</v>
      </c>
      <c r="C131" s="275">
        <v>0.33900000000000002</v>
      </c>
      <c r="D131" s="275">
        <v>0.32800000000000001</v>
      </c>
      <c r="E131" s="275">
        <v>0.32700000000000001</v>
      </c>
      <c r="F131" s="275">
        <f t="shared" ref="F131" si="29">E131</f>
        <v>0.32700000000000001</v>
      </c>
      <c r="G131" s="275">
        <f t="shared" si="22"/>
        <v>0.32700000000000001</v>
      </c>
      <c r="H131" s="275">
        <v>0.372</v>
      </c>
      <c r="I131" s="278">
        <v>0.38100000000000001</v>
      </c>
    </row>
    <row r="132" spans="1:9" ht="18.75" x14ac:dyDescent="0.2">
      <c r="A132" s="87" t="s">
        <v>239</v>
      </c>
      <c r="B132" s="71"/>
      <c r="C132" s="300">
        <f t="shared" ref="C132:C133" si="30">B132</f>
        <v>0</v>
      </c>
      <c r="D132" s="300">
        <v>0</v>
      </c>
      <c r="E132" s="300">
        <f t="shared" si="24"/>
        <v>0</v>
      </c>
      <c r="F132" s="300">
        <v>0</v>
      </c>
      <c r="G132" s="300">
        <f t="shared" si="22"/>
        <v>0</v>
      </c>
      <c r="H132" s="300">
        <v>0</v>
      </c>
      <c r="I132" s="300">
        <v>0</v>
      </c>
    </row>
    <row r="133" spans="1:9" ht="18.75" x14ac:dyDescent="0.2">
      <c r="A133" s="87" t="s">
        <v>240</v>
      </c>
      <c r="B133" s="71"/>
      <c r="C133" s="300">
        <f t="shared" si="30"/>
        <v>0</v>
      </c>
      <c r="D133" s="300">
        <v>0</v>
      </c>
      <c r="E133" s="300">
        <f t="shared" si="24"/>
        <v>0</v>
      </c>
      <c r="F133" s="300">
        <v>0</v>
      </c>
      <c r="G133" s="300">
        <f t="shared" si="22"/>
        <v>0</v>
      </c>
      <c r="H133" s="300">
        <v>0</v>
      </c>
      <c r="I133" s="300">
        <v>0</v>
      </c>
    </row>
    <row r="134" spans="1:9" ht="18.75" x14ac:dyDescent="0.3">
      <c r="A134" s="106" t="s">
        <v>53</v>
      </c>
      <c r="B134" s="71" t="s">
        <v>26</v>
      </c>
      <c r="C134" s="278">
        <v>1.3220000000000001</v>
      </c>
      <c r="D134" s="278">
        <v>1.1519999999999999</v>
      </c>
      <c r="E134" s="278">
        <v>1.2330000000000001</v>
      </c>
      <c r="F134" s="278">
        <f t="shared" ref="F134" si="31">E134</f>
        <v>1.2330000000000001</v>
      </c>
      <c r="G134" s="278">
        <f t="shared" si="22"/>
        <v>1.2330000000000001</v>
      </c>
      <c r="H134" s="278">
        <v>1.2410000000000001</v>
      </c>
      <c r="I134" s="278">
        <v>1.2410000000000001</v>
      </c>
    </row>
    <row r="135" spans="1:9" ht="39" x14ac:dyDescent="0.2">
      <c r="A135" s="88" t="s">
        <v>139</v>
      </c>
      <c r="B135" s="71" t="s">
        <v>13</v>
      </c>
      <c r="C135" s="284">
        <v>1.5</v>
      </c>
      <c r="D135" s="284">
        <v>0.6</v>
      </c>
      <c r="E135" s="284">
        <v>0.6</v>
      </c>
      <c r="F135" s="284">
        <f>E135</f>
        <v>0.6</v>
      </c>
      <c r="G135" s="284">
        <f t="shared" si="22"/>
        <v>0.6</v>
      </c>
      <c r="H135" s="284">
        <v>0.6</v>
      </c>
      <c r="I135" s="284">
        <v>0.6</v>
      </c>
    </row>
    <row r="136" spans="1:9" ht="58.5" x14ac:dyDescent="0.2">
      <c r="A136" s="84" t="s">
        <v>81</v>
      </c>
      <c r="B136" s="71" t="s">
        <v>14</v>
      </c>
      <c r="C136" s="302">
        <v>49656.28</v>
      </c>
      <c r="D136" s="302">
        <v>52425.03</v>
      </c>
      <c r="E136" s="302">
        <v>54255.360000000001</v>
      </c>
      <c r="F136" s="302">
        <f>E136*103.3%</f>
        <v>56045.78688</v>
      </c>
      <c r="G136" s="302">
        <f>F136</f>
        <v>56045.78688</v>
      </c>
      <c r="H136" s="302">
        <f t="shared" ref="H136:I136" si="32">G136*103.3%</f>
        <v>57895.297847039998</v>
      </c>
      <c r="I136" s="302">
        <f t="shared" si="32"/>
        <v>59805.84267599231</v>
      </c>
    </row>
    <row r="137" spans="1:9" ht="19.5" x14ac:dyDescent="0.2">
      <c r="A137" s="84" t="s">
        <v>28</v>
      </c>
      <c r="B137" s="71"/>
      <c r="C137" s="276" t="s">
        <v>342</v>
      </c>
      <c r="D137" s="276"/>
      <c r="E137" s="276" t="s">
        <v>342</v>
      </c>
      <c r="F137" s="276"/>
      <c r="G137" s="276" t="s">
        <v>342</v>
      </c>
      <c r="H137" s="276" t="s">
        <v>342</v>
      </c>
      <c r="I137" s="276" t="s">
        <v>342</v>
      </c>
    </row>
    <row r="138" spans="1:9" ht="37.5" x14ac:dyDescent="0.3">
      <c r="A138" s="98" t="s">
        <v>195</v>
      </c>
      <c r="B138" s="71" t="s">
        <v>14</v>
      </c>
      <c r="C138" s="276">
        <v>19488.96</v>
      </c>
      <c r="D138" s="276">
        <v>20229.689999999999</v>
      </c>
      <c r="E138" s="276">
        <v>27633.9</v>
      </c>
      <c r="F138" s="276">
        <f t="shared" ref="F138:F155" si="33">E138</f>
        <v>27633.9</v>
      </c>
      <c r="G138" s="276">
        <f t="shared" si="22"/>
        <v>27633.9</v>
      </c>
      <c r="H138" s="276">
        <f t="shared" ref="H138:I156" si="34">G138*103%</f>
        <v>28462.917000000001</v>
      </c>
      <c r="I138" s="276">
        <f t="shared" si="34"/>
        <v>29316.804510000002</v>
      </c>
    </row>
    <row r="139" spans="1:9" ht="37.5" x14ac:dyDescent="0.2">
      <c r="A139" s="86" t="s">
        <v>196</v>
      </c>
      <c r="B139" s="71" t="s">
        <v>14</v>
      </c>
      <c r="C139" s="303">
        <v>18233.599999999999</v>
      </c>
      <c r="D139" s="303">
        <v>18425.400000000001</v>
      </c>
      <c r="E139" s="276">
        <v>19132.5</v>
      </c>
      <c r="F139" s="276">
        <f t="shared" si="33"/>
        <v>19132.5</v>
      </c>
      <c r="G139" s="276">
        <f t="shared" si="22"/>
        <v>19132.5</v>
      </c>
      <c r="H139" s="276">
        <f t="shared" si="34"/>
        <v>19706.475000000002</v>
      </c>
      <c r="I139" s="276">
        <f t="shared" si="34"/>
        <v>20297.669250000003</v>
      </c>
    </row>
    <row r="140" spans="1:9" ht="18.75" x14ac:dyDescent="0.3">
      <c r="A140" s="99" t="s">
        <v>197</v>
      </c>
      <c r="B140" s="71" t="s">
        <v>14</v>
      </c>
      <c r="C140" s="304">
        <v>32042.6</v>
      </c>
      <c r="D140" s="304">
        <v>38138.89</v>
      </c>
      <c r="E140" s="276">
        <v>41655.269999999997</v>
      </c>
      <c r="F140" s="276">
        <v>42451.88</v>
      </c>
      <c r="G140" s="276">
        <f t="shared" si="22"/>
        <v>42451.88</v>
      </c>
      <c r="H140" s="276">
        <f t="shared" si="34"/>
        <v>43725.436399999999</v>
      </c>
      <c r="I140" s="276">
        <f t="shared" si="34"/>
        <v>45037.199492</v>
      </c>
    </row>
    <row r="141" spans="1:9" ht="18.75" x14ac:dyDescent="0.3">
      <c r="A141" s="99" t="s">
        <v>198</v>
      </c>
      <c r="B141" s="71" t="s">
        <v>14</v>
      </c>
      <c r="C141" s="300">
        <v>0</v>
      </c>
      <c r="D141" s="300">
        <v>0</v>
      </c>
      <c r="E141" s="300">
        <f t="shared" si="24"/>
        <v>0</v>
      </c>
      <c r="F141" s="300">
        <f t="shared" si="33"/>
        <v>0</v>
      </c>
      <c r="G141" s="300">
        <f t="shared" si="22"/>
        <v>0</v>
      </c>
      <c r="H141" s="300">
        <v>0</v>
      </c>
      <c r="I141" s="300">
        <f t="shared" si="34"/>
        <v>0</v>
      </c>
    </row>
    <row r="142" spans="1:9" ht="18.75" x14ac:dyDescent="0.3">
      <c r="A142" s="99" t="s">
        <v>47</v>
      </c>
      <c r="B142" s="71" t="s">
        <v>14</v>
      </c>
      <c r="C142" s="276">
        <v>43249.85</v>
      </c>
      <c r="D142" s="276">
        <v>52429.36</v>
      </c>
      <c r="E142" s="276">
        <v>53411.74</v>
      </c>
      <c r="F142" s="276">
        <v>54666.23</v>
      </c>
      <c r="G142" s="276">
        <f t="shared" si="22"/>
        <v>54666.23</v>
      </c>
      <c r="H142" s="276">
        <f t="shared" si="34"/>
        <v>56306.216900000007</v>
      </c>
      <c r="I142" s="276">
        <f t="shared" si="34"/>
        <v>57995.403407000005</v>
      </c>
    </row>
    <row r="143" spans="1:9" ht="18.75" x14ac:dyDescent="0.3">
      <c r="A143" s="99" t="s">
        <v>48</v>
      </c>
      <c r="B143" s="71" t="s">
        <v>14</v>
      </c>
      <c r="C143" s="276">
        <v>20472.22</v>
      </c>
      <c r="D143" s="276">
        <v>24022.22</v>
      </c>
      <c r="E143" s="276">
        <v>25068.32</v>
      </c>
      <c r="F143" s="276">
        <v>26725.15</v>
      </c>
      <c r="G143" s="276">
        <f t="shared" si="22"/>
        <v>26725.15</v>
      </c>
      <c r="H143" s="276">
        <f t="shared" si="34"/>
        <v>27526.904500000001</v>
      </c>
      <c r="I143" s="276">
        <f t="shared" si="34"/>
        <v>28352.711635</v>
      </c>
    </row>
    <row r="144" spans="1:9" ht="37.5" x14ac:dyDescent="0.2">
      <c r="A144" s="107" t="s">
        <v>199</v>
      </c>
      <c r="B144" s="71" t="s">
        <v>14</v>
      </c>
      <c r="C144" s="276">
        <v>25082.57</v>
      </c>
      <c r="D144" s="276">
        <v>26589.29</v>
      </c>
      <c r="E144" s="276">
        <v>27032.560000000001</v>
      </c>
      <c r="F144" s="276">
        <v>28124.33</v>
      </c>
      <c r="G144" s="276">
        <f t="shared" si="22"/>
        <v>28124.33</v>
      </c>
      <c r="H144" s="276">
        <f t="shared" si="34"/>
        <v>28968.059900000004</v>
      </c>
      <c r="I144" s="276">
        <f t="shared" si="34"/>
        <v>29837.101697000006</v>
      </c>
    </row>
    <row r="145" spans="1:9" ht="18.75" x14ac:dyDescent="0.3">
      <c r="A145" s="99" t="s">
        <v>200</v>
      </c>
      <c r="B145" s="71" t="s">
        <v>14</v>
      </c>
      <c r="C145" s="276">
        <v>16833.7</v>
      </c>
      <c r="D145" s="276">
        <v>17440.97</v>
      </c>
      <c r="E145" s="276">
        <f>D145*108%</f>
        <v>18836.247600000002</v>
      </c>
      <c r="F145" s="276">
        <v>19502.330000000002</v>
      </c>
      <c r="G145" s="276">
        <f t="shared" si="22"/>
        <v>19502.330000000002</v>
      </c>
      <c r="H145" s="276">
        <f t="shared" si="34"/>
        <v>20087.399900000004</v>
      </c>
      <c r="I145" s="276">
        <f t="shared" si="34"/>
        <v>20690.021897000006</v>
      </c>
    </row>
    <row r="146" spans="1:9" ht="18.75" x14ac:dyDescent="0.2">
      <c r="A146" s="86" t="s">
        <v>17</v>
      </c>
      <c r="B146" s="71" t="s">
        <v>14</v>
      </c>
      <c r="C146" s="305">
        <v>31788.3</v>
      </c>
      <c r="D146" s="304">
        <v>34881.599999999999</v>
      </c>
      <c r="E146" s="276">
        <v>35099.440000000002</v>
      </c>
      <c r="F146" s="276">
        <v>36702.410000000003</v>
      </c>
      <c r="G146" s="276">
        <f t="shared" si="22"/>
        <v>36702.410000000003</v>
      </c>
      <c r="H146" s="276">
        <f t="shared" si="34"/>
        <v>37803.482300000003</v>
      </c>
      <c r="I146" s="276">
        <f t="shared" si="34"/>
        <v>38937.586769000001</v>
      </c>
    </row>
    <row r="147" spans="1:9" ht="37.5" x14ac:dyDescent="0.3">
      <c r="A147" s="98" t="s">
        <v>201</v>
      </c>
      <c r="B147" s="71" t="s">
        <v>14</v>
      </c>
      <c r="C147" s="304">
        <v>23458.6</v>
      </c>
      <c r="D147" s="304">
        <v>25689.1</v>
      </c>
      <c r="E147" s="276">
        <v>26702.5</v>
      </c>
      <c r="F147" s="276">
        <v>27032.080000000002</v>
      </c>
      <c r="G147" s="276">
        <f t="shared" si="22"/>
        <v>27032.080000000002</v>
      </c>
      <c r="H147" s="276">
        <f t="shared" si="34"/>
        <v>27843.042400000002</v>
      </c>
      <c r="I147" s="276">
        <f t="shared" si="34"/>
        <v>28678.333672000004</v>
      </c>
    </row>
    <row r="148" spans="1:9" ht="18.75" x14ac:dyDescent="0.2">
      <c r="A148" s="87" t="s">
        <v>239</v>
      </c>
      <c r="B148" s="71" t="s">
        <v>14</v>
      </c>
      <c r="C148" s="276">
        <v>27833.65</v>
      </c>
      <c r="D148" s="305">
        <v>30145.23</v>
      </c>
      <c r="E148" s="276">
        <v>34025.279999999999</v>
      </c>
      <c r="F148" s="276">
        <v>36702.18</v>
      </c>
      <c r="G148" s="276">
        <f t="shared" si="22"/>
        <v>36702.18</v>
      </c>
      <c r="H148" s="276">
        <f t="shared" si="34"/>
        <v>37803.2454</v>
      </c>
      <c r="I148" s="276">
        <f t="shared" si="34"/>
        <v>38937.342762</v>
      </c>
    </row>
    <row r="149" spans="1:9" ht="18.75" x14ac:dyDescent="0.2">
      <c r="A149" s="87" t="s">
        <v>240</v>
      </c>
      <c r="B149" s="71" t="s">
        <v>14</v>
      </c>
      <c r="C149" s="305">
        <v>26711.599999999999</v>
      </c>
      <c r="D149" s="276">
        <f t="shared" ref="D149" si="35">C149*103%</f>
        <v>27512.948</v>
      </c>
      <c r="E149" s="276">
        <v>29032.67</v>
      </c>
      <c r="F149" s="276">
        <v>30187.22</v>
      </c>
      <c r="G149" s="276">
        <f t="shared" si="22"/>
        <v>30187.22</v>
      </c>
      <c r="H149" s="276">
        <f t="shared" si="34"/>
        <v>31092.836600000002</v>
      </c>
      <c r="I149" s="276">
        <f t="shared" si="34"/>
        <v>32025.621698000003</v>
      </c>
    </row>
    <row r="150" spans="1:9" ht="37.5" x14ac:dyDescent="0.3">
      <c r="A150" s="98" t="s">
        <v>46</v>
      </c>
      <c r="B150" s="71" t="s">
        <v>14</v>
      </c>
      <c r="C150" s="305">
        <v>43891.4</v>
      </c>
      <c r="D150" s="304">
        <v>47689.33</v>
      </c>
      <c r="E150" s="276">
        <v>48633.07</v>
      </c>
      <c r="F150" s="276">
        <v>49332.91</v>
      </c>
      <c r="G150" s="276">
        <f t="shared" si="22"/>
        <v>49332.91</v>
      </c>
      <c r="H150" s="276">
        <f t="shared" si="34"/>
        <v>50812.897300000004</v>
      </c>
      <c r="I150" s="276">
        <f t="shared" si="34"/>
        <v>52337.284219000008</v>
      </c>
    </row>
    <row r="151" spans="1:9" ht="18.75" x14ac:dyDescent="0.3">
      <c r="A151" s="100" t="s">
        <v>50</v>
      </c>
      <c r="B151" s="71" t="s">
        <v>14</v>
      </c>
      <c r="C151" s="305">
        <v>35611.199999999997</v>
      </c>
      <c r="D151" s="304">
        <v>39088.47</v>
      </c>
      <c r="E151" s="276">
        <v>40102.769999999997</v>
      </c>
      <c r="F151" s="276">
        <v>41652.33</v>
      </c>
      <c r="G151" s="276">
        <f t="shared" si="22"/>
        <v>41652.33</v>
      </c>
      <c r="H151" s="276">
        <f t="shared" si="34"/>
        <v>42901.899900000004</v>
      </c>
      <c r="I151" s="276">
        <f t="shared" si="34"/>
        <v>44188.956897000004</v>
      </c>
    </row>
    <row r="152" spans="1:9" ht="18.75" x14ac:dyDescent="0.3">
      <c r="A152" s="99" t="s">
        <v>51</v>
      </c>
      <c r="B152" s="71" t="s">
        <v>14</v>
      </c>
      <c r="C152" s="305">
        <v>36822.199999999997</v>
      </c>
      <c r="D152" s="304">
        <v>38771.25</v>
      </c>
      <c r="E152" s="276">
        <v>39082.629999999997</v>
      </c>
      <c r="F152" s="276">
        <v>41082.660000000003</v>
      </c>
      <c r="G152" s="276">
        <f t="shared" si="22"/>
        <v>41082.660000000003</v>
      </c>
      <c r="H152" s="276">
        <f t="shared" si="34"/>
        <v>42315.139800000004</v>
      </c>
      <c r="I152" s="276">
        <f t="shared" si="34"/>
        <v>43584.593994000003</v>
      </c>
    </row>
    <row r="153" spans="1:9" ht="18.75" x14ac:dyDescent="0.3">
      <c r="A153" s="99" t="s">
        <v>53</v>
      </c>
      <c r="B153" s="71" t="s">
        <v>14</v>
      </c>
      <c r="C153" s="305">
        <v>26581.599999999999</v>
      </c>
      <c r="D153" s="304">
        <v>27895.61</v>
      </c>
      <c r="E153" s="276">
        <v>28102.3</v>
      </c>
      <c r="F153" s="276">
        <v>30122.63</v>
      </c>
      <c r="G153" s="276">
        <f t="shared" si="22"/>
        <v>30122.63</v>
      </c>
      <c r="H153" s="276">
        <f t="shared" si="34"/>
        <v>31026.308900000004</v>
      </c>
      <c r="I153" s="276">
        <f t="shared" si="34"/>
        <v>31957.098167000004</v>
      </c>
    </row>
    <row r="154" spans="1:9" ht="58.9" customHeight="1" x14ac:dyDescent="0.3">
      <c r="A154" s="101" t="s">
        <v>278</v>
      </c>
      <c r="B154" s="71" t="s">
        <v>14</v>
      </c>
      <c r="C154" s="276">
        <v>39058.61</v>
      </c>
      <c r="D154" s="276">
        <v>43339.23</v>
      </c>
      <c r="E154" s="276">
        <v>44871.51</v>
      </c>
      <c r="F154" s="276">
        <v>45623.22</v>
      </c>
      <c r="G154" s="276">
        <f t="shared" si="22"/>
        <v>45623.22</v>
      </c>
      <c r="H154" s="276">
        <f t="shared" si="34"/>
        <v>46991.916600000004</v>
      </c>
      <c r="I154" s="276">
        <f t="shared" si="34"/>
        <v>48401.674098000003</v>
      </c>
    </row>
    <row r="155" spans="1:9" ht="18.75" x14ac:dyDescent="0.3">
      <c r="A155" s="102" t="s">
        <v>175</v>
      </c>
      <c r="B155" s="71"/>
      <c r="C155" s="276" t="s">
        <v>342</v>
      </c>
      <c r="D155" s="276"/>
      <c r="E155" s="276" t="s">
        <v>342</v>
      </c>
      <c r="F155" s="276" t="str">
        <f t="shared" si="33"/>
        <v xml:space="preserve"> </v>
      </c>
      <c r="G155" s="276" t="str">
        <f t="shared" si="22"/>
        <v xml:space="preserve"> </v>
      </c>
      <c r="H155" s="276"/>
      <c r="I155" s="276"/>
    </row>
    <row r="156" spans="1:9" ht="37.5" x14ac:dyDescent="0.2">
      <c r="A156" s="216" t="s">
        <v>254</v>
      </c>
      <c r="B156" s="71" t="s">
        <v>14</v>
      </c>
      <c r="C156" s="276">
        <v>39755.21</v>
      </c>
      <c r="D156" s="276">
        <v>44054.1</v>
      </c>
      <c r="E156" s="276">
        <v>45123.11</v>
      </c>
      <c r="F156" s="276">
        <v>45896.32</v>
      </c>
      <c r="G156" s="276">
        <f t="shared" si="22"/>
        <v>45896.32</v>
      </c>
      <c r="H156" s="276">
        <f t="shared" ref="H156:I157" si="36">G156*103%</f>
        <v>47273.209600000002</v>
      </c>
      <c r="I156" s="276">
        <f t="shared" si="34"/>
        <v>48691.405888000001</v>
      </c>
    </row>
    <row r="157" spans="1:9" ht="18.75" x14ac:dyDescent="0.3">
      <c r="A157" s="217" t="s">
        <v>241</v>
      </c>
      <c r="B157" s="71" t="s">
        <v>14</v>
      </c>
      <c r="C157" s="276">
        <v>36411.230000000003</v>
      </c>
      <c r="D157" s="276">
        <v>37554.019999999997</v>
      </c>
      <c r="E157" s="276">
        <v>38652.699999999997</v>
      </c>
      <c r="F157" s="276">
        <v>40762.36</v>
      </c>
      <c r="G157" s="276">
        <f t="shared" si="22"/>
        <v>40762.36</v>
      </c>
      <c r="H157" s="276">
        <f t="shared" si="36"/>
        <v>41985.230800000005</v>
      </c>
      <c r="I157" s="276">
        <f t="shared" si="36"/>
        <v>43244.787724000009</v>
      </c>
    </row>
    <row r="158" spans="1:9" ht="18.75" x14ac:dyDescent="0.3">
      <c r="A158" s="70" t="s">
        <v>149</v>
      </c>
      <c r="B158" s="71" t="s">
        <v>14</v>
      </c>
      <c r="C158" s="276" t="s">
        <v>342</v>
      </c>
      <c r="D158" s="276" t="s">
        <v>342</v>
      </c>
      <c r="E158" s="276" t="s">
        <v>342</v>
      </c>
      <c r="F158" s="276" t="s">
        <v>342</v>
      </c>
      <c r="G158" s="276" t="str">
        <f t="shared" si="22"/>
        <v xml:space="preserve"> </v>
      </c>
      <c r="H158" s="276" t="s">
        <v>342</v>
      </c>
      <c r="I158" s="276"/>
    </row>
    <row r="159" spans="1:9" ht="60" customHeight="1" x14ac:dyDescent="0.2">
      <c r="A159" s="120" t="s">
        <v>75</v>
      </c>
      <c r="B159" s="71" t="s">
        <v>14</v>
      </c>
      <c r="C159" s="276">
        <v>21257.97</v>
      </c>
      <c r="D159" s="276">
        <f>C159*111%</f>
        <v>23596.346700000002</v>
      </c>
      <c r="E159" s="276">
        <f>D159*103%</f>
        <v>24304.237101000002</v>
      </c>
      <c r="F159" s="276">
        <f>E159</f>
        <v>24304.237101000002</v>
      </c>
      <c r="G159" s="276">
        <f t="shared" si="22"/>
        <v>24304.237101000002</v>
      </c>
      <c r="H159" s="306">
        <f t="shared" ref="H159:I159" si="37">G159*103%</f>
        <v>25033.364214030003</v>
      </c>
      <c r="I159" s="276">
        <f t="shared" si="37"/>
        <v>25784.365140450904</v>
      </c>
    </row>
    <row r="160" spans="1:9" ht="42.75" customHeight="1" x14ac:dyDescent="0.2">
      <c r="A160" s="122" t="s">
        <v>79</v>
      </c>
      <c r="B160" s="71"/>
      <c r="C160" s="302">
        <v>3455.21</v>
      </c>
      <c r="D160" s="302">
        <f>D136*D97*12/1000</f>
        <v>3654.4439912400003</v>
      </c>
      <c r="E160" s="302">
        <f t="shared" ref="E160:H160" si="38">E136*E97*12/1000</f>
        <v>3742.9687756800008</v>
      </c>
      <c r="F160" s="302">
        <f t="shared" si="38"/>
        <v>3883.973030784</v>
      </c>
      <c r="G160" s="302">
        <f t="shared" si="38"/>
        <v>3883.973030784</v>
      </c>
      <c r="H160" s="302">
        <f t="shared" si="38"/>
        <v>4176.1036243026892</v>
      </c>
      <c r="I160" s="302">
        <f t="shared" ref="I160" si="39">I136*I97*12/1000</f>
        <v>4354.1045701829435</v>
      </c>
    </row>
    <row r="161" spans="1:9" ht="18.75" x14ac:dyDescent="0.2">
      <c r="A161" s="123" t="s">
        <v>28</v>
      </c>
      <c r="B161" s="71" t="s">
        <v>342</v>
      </c>
      <c r="C161" s="276"/>
      <c r="D161" s="276"/>
      <c r="E161" s="276"/>
      <c r="F161" s="276" t="s">
        <v>342</v>
      </c>
      <c r="G161" s="276" t="s">
        <v>342</v>
      </c>
      <c r="H161" s="276"/>
      <c r="I161" s="276"/>
    </row>
    <row r="162" spans="1:9" ht="37.5" x14ac:dyDescent="0.2">
      <c r="A162" s="123" t="s">
        <v>80</v>
      </c>
      <c r="B162" s="71" t="s">
        <v>11</v>
      </c>
      <c r="C162" s="276">
        <f>C159*C120*12/1000</f>
        <v>537.99670476000006</v>
      </c>
      <c r="D162" s="276">
        <f t="shared" ref="D162:I162" si="40">D159*D120*12/1000</f>
        <v>606.80365173719997</v>
      </c>
      <c r="E162" s="276">
        <f t="shared" si="40"/>
        <v>638.42370016906807</v>
      </c>
      <c r="F162" s="276">
        <f t="shared" si="40"/>
        <v>647.75652721585209</v>
      </c>
      <c r="G162" s="276">
        <f t="shared" si="40"/>
        <v>647.75652721585209</v>
      </c>
      <c r="H162" s="276">
        <f t="shared" si="40"/>
        <v>681.60844081960897</v>
      </c>
      <c r="I162" s="276">
        <f t="shared" si="40"/>
        <v>738.87676746476109</v>
      </c>
    </row>
    <row r="163" spans="1:9" ht="37.5" x14ac:dyDescent="0.2">
      <c r="A163" s="123" t="s">
        <v>85</v>
      </c>
      <c r="B163" s="71" t="s">
        <v>11</v>
      </c>
      <c r="C163" s="276">
        <f>C123*C139*12/1000</f>
        <v>61.264896000000007</v>
      </c>
      <c r="D163" s="276">
        <f t="shared" ref="D163:I163" si="41">D123*D139*12/1000</f>
        <v>59.256086400000015</v>
      </c>
      <c r="E163" s="276">
        <f t="shared" si="41"/>
        <v>59.922990000000006</v>
      </c>
      <c r="F163" s="276">
        <f t="shared" si="41"/>
        <v>62.448479999999996</v>
      </c>
      <c r="G163" s="276">
        <f t="shared" si="41"/>
        <v>62.448479999999996</v>
      </c>
      <c r="H163" s="276">
        <f t="shared" si="41"/>
        <v>65.740800600000014</v>
      </c>
      <c r="I163" s="276">
        <f t="shared" si="41"/>
        <v>68.443740711000018</v>
      </c>
    </row>
    <row r="164" spans="1:9" ht="37.5" x14ac:dyDescent="0.2">
      <c r="A164" s="123" t="s">
        <v>140</v>
      </c>
      <c r="B164" s="71" t="s">
        <v>11</v>
      </c>
      <c r="C164" s="276">
        <f>C154*C115*12/1000</f>
        <v>479.01479304000003</v>
      </c>
      <c r="D164" s="276">
        <f t="shared" ref="D164:I164" si="42">D154*D115*12/1000</f>
        <v>540.35351964000006</v>
      </c>
      <c r="E164" s="276">
        <f t="shared" si="42"/>
        <v>581.5347696</v>
      </c>
      <c r="F164" s="276">
        <f t="shared" si="42"/>
        <v>591.27693120000004</v>
      </c>
      <c r="G164" s="276">
        <f t="shared" si="42"/>
        <v>591.27693120000004</v>
      </c>
      <c r="H164" s="276">
        <f t="shared" si="42"/>
        <v>609.01523913600022</v>
      </c>
      <c r="I164" s="276">
        <f t="shared" si="42"/>
        <v>627.28569631008008</v>
      </c>
    </row>
    <row r="165" spans="1:9" ht="19.5" x14ac:dyDescent="0.2">
      <c r="A165" s="122" t="s">
        <v>29</v>
      </c>
      <c r="B165" s="71" t="s">
        <v>11</v>
      </c>
      <c r="C165" s="276">
        <v>6.94</v>
      </c>
      <c r="D165" s="276">
        <v>6.83</v>
      </c>
      <c r="E165" s="276">
        <v>7.02</v>
      </c>
      <c r="F165" s="276">
        <v>7.61</v>
      </c>
      <c r="G165" s="276">
        <f t="shared" ref="G165:G166" si="43">F165</f>
        <v>7.61</v>
      </c>
      <c r="H165" s="276">
        <v>7.82</v>
      </c>
      <c r="I165" s="276">
        <v>7.91</v>
      </c>
    </row>
    <row r="166" spans="1:9" ht="19.5" x14ac:dyDescent="0.2">
      <c r="A166" s="122" t="s">
        <v>6</v>
      </c>
      <c r="B166" s="71" t="s">
        <v>11</v>
      </c>
      <c r="C166" s="307">
        <v>4.3</v>
      </c>
      <c r="D166" s="307">
        <v>4.4000000000000004</v>
      </c>
      <c r="E166" s="307">
        <v>4.6100000000000003</v>
      </c>
      <c r="F166" s="307">
        <v>4.82</v>
      </c>
      <c r="G166" s="307">
        <f t="shared" si="43"/>
        <v>4.82</v>
      </c>
      <c r="H166" s="307">
        <v>4.93</v>
      </c>
      <c r="I166" s="276">
        <v>5.01</v>
      </c>
    </row>
    <row r="167" spans="1:9" ht="39" x14ac:dyDescent="0.2">
      <c r="A167" s="239" t="s">
        <v>160</v>
      </c>
      <c r="B167" s="78" t="s">
        <v>11</v>
      </c>
      <c r="C167" s="307">
        <f>C160+C165+C166</f>
        <v>3466.4500000000003</v>
      </c>
      <c r="D167" s="307">
        <f t="shared" ref="D167:I167" si="44">D160+D165+D166</f>
        <v>3665.6739912400003</v>
      </c>
      <c r="E167" s="307">
        <f t="shared" si="44"/>
        <v>3754.5987756800009</v>
      </c>
      <c r="F167" s="307">
        <f t="shared" si="44"/>
        <v>3896.4030307840003</v>
      </c>
      <c r="G167" s="307">
        <f t="shared" si="44"/>
        <v>3896.4030307840003</v>
      </c>
      <c r="H167" s="307">
        <f t="shared" si="44"/>
        <v>4188.8536243026892</v>
      </c>
      <c r="I167" s="307">
        <f t="shared" si="44"/>
        <v>4367.0245701829435</v>
      </c>
    </row>
    <row r="168" spans="1:9" ht="18.75" x14ac:dyDescent="0.2">
      <c r="A168" s="377" t="s">
        <v>170</v>
      </c>
      <c r="B168" s="378"/>
      <c r="C168" s="378"/>
      <c r="D168" s="378"/>
      <c r="E168" s="378"/>
      <c r="F168" s="378"/>
      <c r="G168" s="378"/>
      <c r="H168" s="378"/>
      <c r="I168" s="379"/>
    </row>
    <row r="169" spans="1:9" ht="39" x14ac:dyDescent="0.2">
      <c r="A169" s="182" t="s">
        <v>166</v>
      </c>
      <c r="B169" s="78" t="s">
        <v>11</v>
      </c>
      <c r="C169" s="183">
        <v>191</v>
      </c>
      <c r="D169" s="183">
        <v>195.5</v>
      </c>
      <c r="E169" s="183">
        <v>195.1</v>
      </c>
      <c r="F169" s="184">
        <f>E169*104.1%</f>
        <v>203.09909999999999</v>
      </c>
      <c r="G169" s="308">
        <f t="shared" ref="G169:G180" si="45">F169</f>
        <v>203.09909999999999</v>
      </c>
      <c r="H169" s="184">
        <f>H171+H172+H173</f>
        <v>203.84039609999996</v>
      </c>
      <c r="I169" s="184">
        <f>I171+I172+I173</f>
        <v>212.19785234009996</v>
      </c>
    </row>
    <row r="170" spans="1:9" ht="18.75" x14ac:dyDescent="0.2">
      <c r="A170" s="123" t="s">
        <v>28</v>
      </c>
      <c r="B170" s="78" t="s">
        <v>11</v>
      </c>
      <c r="C170" s="82"/>
      <c r="D170" s="82"/>
      <c r="E170" s="82"/>
      <c r="F170" s="82"/>
      <c r="G170" s="309" t="s">
        <v>342</v>
      </c>
      <c r="H170" s="82"/>
      <c r="I170" s="83"/>
    </row>
    <row r="171" spans="1:9" ht="18.75" x14ac:dyDescent="0.2">
      <c r="A171" s="40" t="s">
        <v>164</v>
      </c>
      <c r="B171" s="78" t="s">
        <v>11</v>
      </c>
      <c r="C171" s="72">
        <v>135.1</v>
      </c>
      <c r="D171" s="72">
        <v>145.4</v>
      </c>
      <c r="E171" s="72">
        <v>150.80000000000001</v>
      </c>
      <c r="F171" s="73">
        <f t="shared" ref="F171:F172" si="46">E171*104.1%</f>
        <v>156.9828</v>
      </c>
      <c r="G171" s="277">
        <f t="shared" si="45"/>
        <v>156.9828</v>
      </c>
      <c r="H171" s="73">
        <f>G171*104.1%</f>
        <v>163.41909479999998</v>
      </c>
      <c r="I171" s="73">
        <f t="shared" ref="I171:I173" si="47">H171*104.1%</f>
        <v>170.11927768679996</v>
      </c>
    </row>
    <row r="172" spans="1:9" ht="18.75" x14ac:dyDescent="0.2">
      <c r="A172" s="40" t="s">
        <v>165</v>
      </c>
      <c r="B172" s="78" t="s">
        <v>11</v>
      </c>
      <c r="C172" s="72">
        <v>33.1</v>
      </c>
      <c r="D172" s="72">
        <v>21</v>
      </c>
      <c r="E172" s="72">
        <v>21</v>
      </c>
      <c r="F172" s="73">
        <f t="shared" si="46"/>
        <v>21.860999999999997</v>
      </c>
      <c r="G172" s="277">
        <f t="shared" si="45"/>
        <v>21.860999999999997</v>
      </c>
      <c r="H172" s="73">
        <f t="shared" ref="H172:H173" si="48">G172*104.1%</f>
        <v>22.757300999999995</v>
      </c>
      <c r="I172" s="73">
        <f t="shared" si="47"/>
        <v>23.690350340999991</v>
      </c>
    </row>
    <row r="173" spans="1:9" ht="18.75" x14ac:dyDescent="0.2">
      <c r="A173" s="199" t="s">
        <v>161</v>
      </c>
      <c r="B173" s="78" t="s">
        <v>11</v>
      </c>
      <c r="C173" s="72">
        <v>30.6</v>
      </c>
      <c r="D173" s="72">
        <v>16.3</v>
      </c>
      <c r="E173" s="72">
        <v>16.3</v>
      </c>
      <c r="F173" s="73">
        <f>E173*104.1%</f>
        <v>16.968299999999999</v>
      </c>
      <c r="G173" s="277">
        <f t="shared" si="45"/>
        <v>16.968299999999999</v>
      </c>
      <c r="H173" s="73">
        <f t="shared" si="48"/>
        <v>17.664000299999998</v>
      </c>
      <c r="I173" s="73">
        <f t="shared" si="47"/>
        <v>18.388224312299997</v>
      </c>
    </row>
    <row r="174" spans="1:9" ht="31.5" x14ac:dyDescent="0.2">
      <c r="A174" s="190" t="s">
        <v>176</v>
      </c>
      <c r="B174" s="78" t="s">
        <v>11</v>
      </c>
      <c r="C174" s="72"/>
      <c r="D174" s="72"/>
      <c r="E174" s="72"/>
      <c r="F174" s="72"/>
      <c r="G174" s="277" t="s">
        <v>342</v>
      </c>
      <c r="H174" s="72"/>
      <c r="I174" s="73"/>
    </row>
    <row r="175" spans="1:9" ht="18.75" x14ac:dyDescent="0.2">
      <c r="A175" s="190" t="s">
        <v>174</v>
      </c>
      <c r="B175" s="78" t="s">
        <v>11</v>
      </c>
      <c r="C175" s="72"/>
      <c r="D175" s="72"/>
      <c r="E175" s="72"/>
      <c r="F175" s="72"/>
      <c r="G175" s="277" t="s">
        <v>342</v>
      </c>
      <c r="H175" s="72"/>
      <c r="I175" s="73"/>
    </row>
    <row r="176" spans="1:9" ht="18.75" x14ac:dyDescent="0.2">
      <c r="A176" s="199" t="s">
        <v>162</v>
      </c>
      <c r="B176" s="78" t="s">
        <v>11</v>
      </c>
      <c r="C176" s="72">
        <v>2.5</v>
      </c>
      <c r="D176" s="72">
        <v>4.7</v>
      </c>
      <c r="E176" s="72">
        <v>4.7</v>
      </c>
      <c r="F176" s="73">
        <f>E176*104.1%</f>
        <v>4.8926999999999996</v>
      </c>
      <c r="G176" s="277">
        <f t="shared" si="45"/>
        <v>4.8926999999999996</v>
      </c>
      <c r="H176" s="73">
        <f t="shared" ref="H176:I176" si="49">G176*104.1%</f>
        <v>5.0933006999999995</v>
      </c>
      <c r="I176" s="73">
        <f t="shared" si="49"/>
        <v>5.3021260286999992</v>
      </c>
    </row>
    <row r="177" spans="1:9" ht="36.6" customHeight="1" x14ac:dyDescent="0.2">
      <c r="A177" s="190" t="s">
        <v>177</v>
      </c>
      <c r="B177" s="78" t="s">
        <v>11</v>
      </c>
      <c r="C177" s="72"/>
      <c r="D177" s="72"/>
      <c r="E177" s="72"/>
      <c r="F177" s="72"/>
      <c r="G177" s="277" t="s">
        <v>342</v>
      </c>
      <c r="H177" s="72"/>
      <c r="I177" s="73"/>
    </row>
    <row r="178" spans="1:9" ht="18.75" x14ac:dyDescent="0.2">
      <c r="A178" s="40" t="s">
        <v>171</v>
      </c>
      <c r="B178" s="78"/>
      <c r="C178" s="72"/>
      <c r="D178" s="72"/>
      <c r="E178" s="72"/>
      <c r="F178" s="72"/>
      <c r="G178" s="277" t="s">
        <v>342</v>
      </c>
      <c r="H178" s="72"/>
      <c r="I178" s="73"/>
    </row>
    <row r="179" spans="1:9" ht="31.5" x14ac:dyDescent="0.2">
      <c r="A179" s="254" t="s">
        <v>301</v>
      </c>
      <c r="B179" s="78" t="s">
        <v>11</v>
      </c>
      <c r="C179" s="79">
        <v>2.8</v>
      </c>
      <c r="D179" s="79">
        <v>0.12</v>
      </c>
      <c r="E179" s="79">
        <v>0</v>
      </c>
      <c r="F179" s="79">
        <f t="shared" ref="F179:F180" si="50">E179*104.1%</f>
        <v>0</v>
      </c>
      <c r="G179" s="292">
        <f>F179</f>
        <v>0</v>
      </c>
      <c r="H179" s="79">
        <f t="shared" ref="H179:I180" si="51">G179*104.1%</f>
        <v>0</v>
      </c>
      <c r="I179" s="310">
        <f t="shared" si="51"/>
        <v>0</v>
      </c>
    </row>
    <row r="180" spans="1:9" ht="18.75" x14ac:dyDescent="0.2">
      <c r="A180" s="255" t="s">
        <v>302</v>
      </c>
      <c r="B180" s="78" t="s">
        <v>11</v>
      </c>
      <c r="C180" s="193">
        <v>3.1</v>
      </c>
      <c r="D180" s="193">
        <v>3.5</v>
      </c>
      <c r="E180" s="193">
        <v>3.5</v>
      </c>
      <c r="F180" s="194">
        <f t="shared" si="50"/>
        <v>3.6434999999999995</v>
      </c>
      <c r="G180" s="311">
        <f t="shared" si="45"/>
        <v>3.6434999999999995</v>
      </c>
      <c r="H180" s="194">
        <f t="shared" si="51"/>
        <v>3.7928834999999994</v>
      </c>
      <c r="I180" s="194">
        <f t="shared" si="51"/>
        <v>3.948391723499999</v>
      </c>
    </row>
    <row r="181" spans="1:9" s="195" customFormat="1" ht="33.75" customHeight="1" x14ac:dyDescent="0.2">
      <c r="A181" s="191" t="s">
        <v>163</v>
      </c>
      <c r="B181" s="192" t="s">
        <v>11</v>
      </c>
      <c r="C181" s="193"/>
      <c r="D181" s="193"/>
      <c r="E181" s="193"/>
      <c r="F181" s="193"/>
      <c r="G181" s="194"/>
      <c r="H181" s="193"/>
      <c r="I181" s="194"/>
    </row>
  </sheetData>
  <mergeCells count="17">
    <mergeCell ref="H1:I1"/>
    <mergeCell ref="H2:I2"/>
    <mergeCell ref="D6:D8"/>
    <mergeCell ref="C6:C8"/>
    <mergeCell ref="E6:E8"/>
    <mergeCell ref="A4:I4"/>
    <mergeCell ref="H7:H8"/>
    <mergeCell ref="I7:I8"/>
    <mergeCell ref="F6:I6"/>
    <mergeCell ref="A6:A8"/>
    <mergeCell ref="B6:B8"/>
    <mergeCell ref="A1:G1"/>
    <mergeCell ref="A9:I9"/>
    <mergeCell ref="A27:I27"/>
    <mergeCell ref="A168:I168"/>
    <mergeCell ref="A95:I95"/>
    <mergeCell ref="F7:G7"/>
  </mergeCells>
  <phoneticPr fontId="15" type="noConversion"/>
  <printOptions horizontalCentered="1"/>
  <pageMargins left="0.39370078740157483" right="0.39370078740157483" top="0.19685039370078741" bottom="0.19685039370078741" header="0" footer="0"/>
  <pageSetup paperSize="9" scale="74" fitToHeight="0" orientation="landscape" r:id="rId1"/>
  <headerFooter alignWithMargins="0"/>
  <rowBreaks count="5" manualBreakCount="5">
    <brk id="24" max="8" man="1"/>
    <brk id="43" max="8" man="1"/>
    <brk id="68" max="8" man="1"/>
    <brk id="128" max="8" man="1"/>
    <brk id="16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0"/>
  </sheetPr>
  <dimension ref="A1:AH79"/>
  <sheetViews>
    <sheetView view="pageBreakPreview" zoomScale="75" zoomScaleNormal="75" workbookViewId="0">
      <selection activeCell="C76" sqref="C76"/>
    </sheetView>
  </sheetViews>
  <sheetFormatPr defaultRowHeight="12.75" x14ac:dyDescent="0.2"/>
  <cols>
    <col min="1" max="1" width="34.5703125" customWidth="1"/>
    <col min="2" max="2" width="20.140625" customWidth="1"/>
    <col min="3" max="8" width="9.7109375" customWidth="1"/>
    <col min="9" max="10" width="9.140625" customWidth="1"/>
    <col min="11" max="11" width="10.28515625" customWidth="1"/>
    <col min="12" max="12" width="9" customWidth="1"/>
    <col min="13" max="14" width="9.28515625" customWidth="1"/>
    <col min="15" max="21" width="9.7109375" customWidth="1"/>
    <col min="22" max="23" width="10.5703125" bestFit="1" customWidth="1"/>
    <col min="24" max="26" width="9.7109375" customWidth="1"/>
  </cols>
  <sheetData>
    <row r="1" spans="1:34" ht="27" customHeight="1" x14ac:dyDescent="0.2"/>
    <row r="2" spans="1:34" ht="15.75" customHeight="1" x14ac:dyDescent="0.25">
      <c r="C2" s="402"/>
      <c r="D2" s="402"/>
      <c r="E2" s="402"/>
      <c r="F2" s="402"/>
      <c r="G2" s="402"/>
      <c r="H2" s="402"/>
      <c r="I2" s="402"/>
      <c r="J2" s="402"/>
      <c r="K2" s="403" t="s">
        <v>63</v>
      </c>
      <c r="L2" s="404"/>
      <c r="M2" s="404"/>
      <c r="N2" s="404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</row>
    <row r="4" spans="1:34" ht="15.75" x14ac:dyDescent="0.2">
      <c r="A4" s="228"/>
      <c r="B4" s="395" t="s">
        <v>181</v>
      </c>
      <c r="C4" s="405" t="s">
        <v>59</v>
      </c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7"/>
      <c r="O4" s="401" t="s">
        <v>60</v>
      </c>
      <c r="P4" s="401"/>
      <c r="Q4" s="401"/>
      <c r="R4" s="401"/>
      <c r="S4" s="401"/>
      <c r="T4" s="401"/>
      <c r="U4" s="401"/>
      <c r="V4" s="401"/>
      <c r="W4" s="401"/>
      <c r="X4" s="401"/>
      <c r="Y4" s="401"/>
      <c r="Z4" s="401"/>
      <c r="AA4" s="401"/>
      <c r="AB4" s="401"/>
      <c r="AC4" s="401"/>
      <c r="AD4" s="401"/>
      <c r="AE4" s="401"/>
      <c r="AF4" s="401"/>
      <c r="AG4" s="3"/>
      <c r="AH4" s="3"/>
    </row>
    <row r="5" spans="1:34" ht="58.5" customHeight="1" x14ac:dyDescent="0.2">
      <c r="A5" s="229"/>
      <c r="B5" s="395"/>
      <c r="C5" s="398" t="s">
        <v>3</v>
      </c>
      <c r="D5" s="399"/>
      <c r="E5" s="399"/>
      <c r="F5" s="399"/>
      <c r="G5" s="399"/>
      <c r="H5" s="400"/>
      <c r="I5" s="398" t="s">
        <v>70</v>
      </c>
      <c r="J5" s="399"/>
      <c r="K5" s="399"/>
      <c r="L5" s="399"/>
      <c r="M5" s="399"/>
      <c r="N5" s="400"/>
      <c r="O5" s="398" t="s">
        <v>2</v>
      </c>
      <c r="P5" s="399"/>
      <c r="Q5" s="399"/>
      <c r="R5" s="399"/>
      <c r="S5" s="399"/>
      <c r="T5" s="400"/>
      <c r="U5" s="398" t="s">
        <v>72</v>
      </c>
      <c r="V5" s="399"/>
      <c r="W5" s="399"/>
      <c r="X5" s="399"/>
      <c r="Y5" s="399"/>
      <c r="Z5" s="400"/>
      <c r="AA5" s="398" t="s">
        <v>61</v>
      </c>
      <c r="AB5" s="399"/>
      <c r="AC5" s="399"/>
      <c r="AD5" s="399"/>
      <c r="AE5" s="399"/>
      <c r="AF5" s="400"/>
      <c r="AG5" s="3"/>
    </row>
    <row r="6" spans="1:34" ht="15.75" customHeight="1" x14ac:dyDescent="0.2">
      <c r="A6" s="229"/>
      <c r="B6" s="395"/>
      <c r="C6" s="396" t="s">
        <v>273</v>
      </c>
      <c r="D6" s="396" t="s">
        <v>289</v>
      </c>
      <c r="E6" s="396" t="s">
        <v>288</v>
      </c>
      <c r="F6" s="398" t="s">
        <v>290</v>
      </c>
      <c r="G6" s="399"/>
      <c r="H6" s="400"/>
      <c r="I6" s="396" t="s">
        <v>273</v>
      </c>
      <c r="J6" s="396" t="s">
        <v>289</v>
      </c>
      <c r="K6" s="396" t="s">
        <v>288</v>
      </c>
      <c r="L6" s="398" t="s">
        <v>290</v>
      </c>
      <c r="M6" s="399"/>
      <c r="N6" s="400"/>
      <c r="O6" s="396" t="s">
        <v>273</v>
      </c>
      <c r="P6" s="396" t="s">
        <v>289</v>
      </c>
      <c r="Q6" s="396" t="s">
        <v>288</v>
      </c>
      <c r="R6" s="398" t="s">
        <v>290</v>
      </c>
      <c r="S6" s="399"/>
      <c r="T6" s="400"/>
      <c r="U6" s="396" t="s">
        <v>273</v>
      </c>
      <c r="V6" s="396" t="s">
        <v>289</v>
      </c>
      <c r="W6" s="396" t="s">
        <v>288</v>
      </c>
      <c r="X6" s="398" t="s">
        <v>290</v>
      </c>
      <c r="Y6" s="399"/>
      <c r="Z6" s="400"/>
      <c r="AA6" s="396" t="s">
        <v>273</v>
      </c>
      <c r="AB6" s="396" t="s">
        <v>289</v>
      </c>
      <c r="AC6" s="396" t="s">
        <v>288</v>
      </c>
      <c r="AD6" s="398" t="s">
        <v>290</v>
      </c>
      <c r="AE6" s="399"/>
      <c r="AF6" s="400"/>
      <c r="AG6" s="3"/>
      <c r="AH6" s="3"/>
    </row>
    <row r="7" spans="1:34" ht="15.75" x14ac:dyDescent="0.2">
      <c r="A7" s="230"/>
      <c r="B7" s="395"/>
      <c r="C7" s="397"/>
      <c r="D7" s="397"/>
      <c r="E7" s="397"/>
      <c r="F7" s="247" t="s">
        <v>272</v>
      </c>
      <c r="G7" s="247" t="s">
        <v>274</v>
      </c>
      <c r="H7" s="247" t="s">
        <v>291</v>
      </c>
      <c r="I7" s="397"/>
      <c r="J7" s="397"/>
      <c r="K7" s="397"/>
      <c r="L7" s="252" t="s">
        <v>272</v>
      </c>
      <c r="M7" s="252" t="s">
        <v>274</v>
      </c>
      <c r="N7" s="252" t="s">
        <v>291</v>
      </c>
      <c r="O7" s="397"/>
      <c r="P7" s="397"/>
      <c r="Q7" s="397"/>
      <c r="R7" s="252" t="s">
        <v>272</v>
      </c>
      <c r="S7" s="252" t="s">
        <v>274</v>
      </c>
      <c r="T7" s="252" t="s">
        <v>291</v>
      </c>
      <c r="U7" s="397"/>
      <c r="V7" s="397"/>
      <c r="W7" s="397"/>
      <c r="X7" s="252" t="s">
        <v>272</v>
      </c>
      <c r="Y7" s="252" t="s">
        <v>274</v>
      </c>
      <c r="Z7" s="252" t="s">
        <v>291</v>
      </c>
      <c r="AA7" s="397"/>
      <c r="AB7" s="397"/>
      <c r="AC7" s="397"/>
      <c r="AD7" s="252" t="s">
        <v>272</v>
      </c>
      <c r="AE7" s="252" t="s">
        <v>274</v>
      </c>
      <c r="AF7" s="252" t="s">
        <v>291</v>
      </c>
      <c r="AG7" s="3"/>
      <c r="AH7" s="3"/>
    </row>
    <row r="8" spans="1:34" ht="105.75" customHeight="1" x14ac:dyDescent="0.2">
      <c r="A8" s="212" t="s">
        <v>221</v>
      </c>
      <c r="B8" s="200"/>
      <c r="C8" s="341">
        <f>C9+C24</f>
        <v>865.44400000000007</v>
      </c>
      <c r="D8" s="339">
        <f t="shared" ref="D8:T8" si="0">D9+D24</f>
        <v>897.63017999999988</v>
      </c>
      <c r="E8" s="339">
        <f t="shared" si="0"/>
        <v>949.53989539999998</v>
      </c>
      <c r="F8" s="340">
        <f t="shared" si="0"/>
        <v>994.24300000000005</v>
      </c>
      <c r="G8" s="340">
        <f t="shared" si="0"/>
        <v>997.3610000000001</v>
      </c>
      <c r="H8" s="340">
        <f t="shared" si="0"/>
        <v>1113.31133</v>
      </c>
      <c r="I8" s="339">
        <f t="shared" si="0"/>
        <v>122.057</v>
      </c>
      <c r="J8" s="339">
        <f t="shared" si="0"/>
        <v>136.63190000000003</v>
      </c>
      <c r="K8" s="339">
        <f t="shared" si="0"/>
        <v>151.15491699999998</v>
      </c>
      <c r="L8" s="340">
        <f t="shared" si="0"/>
        <v>175.77600000000004</v>
      </c>
      <c r="M8" s="340">
        <f t="shared" si="0"/>
        <v>180.47900000000001</v>
      </c>
      <c r="N8" s="340">
        <f t="shared" si="0"/>
        <v>185.11644999999996</v>
      </c>
      <c r="O8" s="339">
        <f t="shared" si="0"/>
        <v>231</v>
      </c>
      <c r="P8" s="339">
        <f t="shared" si="0"/>
        <v>233</v>
      </c>
      <c r="Q8" s="339">
        <f t="shared" si="0"/>
        <v>239</v>
      </c>
      <c r="R8" s="340">
        <f t="shared" si="0"/>
        <v>239</v>
      </c>
      <c r="S8" s="340">
        <f t="shared" si="0"/>
        <v>239</v>
      </c>
      <c r="T8" s="340">
        <f t="shared" si="0"/>
        <v>239</v>
      </c>
      <c r="U8" s="339">
        <f t="shared" ref="U8" si="1">AA8/O8/12*1000000</f>
        <v>21113.275613275615</v>
      </c>
      <c r="V8" s="339">
        <f t="shared" ref="V8" si="2">AB8/P8/12*1000000</f>
        <v>22160.647353361943</v>
      </c>
      <c r="W8" s="339">
        <f t="shared" ref="W8" si="3">AC8/Q8/12*1000000</f>
        <v>22698.868584379357</v>
      </c>
      <c r="X8" s="340">
        <f t="shared" ref="X8" si="4">AD8/R8/12*1000000</f>
        <v>24121.687587168759</v>
      </c>
      <c r="Y8" s="340">
        <f t="shared" ref="Y8" si="5">AE8/S8/12*1000000</f>
        <v>25010.111576011157</v>
      </c>
      <c r="Z8" s="340">
        <f t="shared" ref="Z8" si="6">AF8/T8/12*1000000</f>
        <v>26925.383542538359</v>
      </c>
      <c r="AA8" s="342">
        <f t="shared" ref="AA8" si="7">AA9+AA24</f>
        <v>58.52600000000001</v>
      </c>
      <c r="AB8" s="342">
        <f t="shared" ref="AB8" si="8">AB9+AB24</f>
        <v>61.961169999999996</v>
      </c>
      <c r="AC8" s="342">
        <f t="shared" ref="AC8" si="9">AC9+AC24</f>
        <v>65.100355100000002</v>
      </c>
      <c r="AD8" s="342">
        <f t="shared" ref="AD8" si="10">AD9+AD24</f>
        <v>69.180999999999997</v>
      </c>
      <c r="AE8" s="342">
        <f t="shared" ref="AE8" si="11">AE9+AE24</f>
        <v>71.728999999999999</v>
      </c>
      <c r="AF8" s="342">
        <f t="shared" ref="AF8" si="12">AF9+AF24</f>
        <v>77.222000000000008</v>
      </c>
      <c r="AG8" s="3"/>
      <c r="AH8" s="3"/>
    </row>
    <row r="9" spans="1:34" ht="81.75" customHeight="1" x14ac:dyDescent="0.2">
      <c r="A9" s="209" t="s">
        <v>222</v>
      </c>
      <c r="B9" s="201"/>
      <c r="C9" s="330">
        <f>C11+C12+C13+C14+C15+C16+C17+C18+C19+C20+C21</f>
        <v>863.73800000000006</v>
      </c>
      <c r="D9" s="262">
        <f t="shared" ref="D9:T9" si="13">D11+D12+D13+D14+D15+D16+D17+D18+D19+D20+D21</f>
        <v>895.87299999999993</v>
      </c>
      <c r="E9" s="262">
        <f t="shared" si="13"/>
        <v>947.73</v>
      </c>
      <c r="F9" s="262">
        <f t="shared" si="13"/>
        <v>992.33800000000008</v>
      </c>
      <c r="G9" s="262">
        <f t="shared" si="13"/>
        <v>995.35000000000014</v>
      </c>
      <c r="H9" s="262">
        <f t="shared" si="13"/>
        <v>1111.24</v>
      </c>
      <c r="I9" s="262">
        <f t="shared" si="13"/>
        <v>121.92700000000001</v>
      </c>
      <c r="J9" s="262">
        <f t="shared" si="13"/>
        <v>136.49800000000002</v>
      </c>
      <c r="K9" s="262">
        <f t="shared" si="13"/>
        <v>151.017</v>
      </c>
      <c r="L9" s="262">
        <f t="shared" si="13"/>
        <v>175.63600000000005</v>
      </c>
      <c r="M9" s="262">
        <f t="shared" si="13"/>
        <v>180.364</v>
      </c>
      <c r="N9" s="262">
        <f t="shared" si="13"/>
        <v>184.99799999999996</v>
      </c>
      <c r="O9" s="331">
        <f t="shared" si="13"/>
        <v>196</v>
      </c>
      <c r="P9" s="331">
        <f t="shared" si="13"/>
        <v>198</v>
      </c>
      <c r="Q9" s="331">
        <f t="shared" si="13"/>
        <v>204</v>
      </c>
      <c r="R9" s="331">
        <f t="shared" si="13"/>
        <v>204</v>
      </c>
      <c r="S9" s="331">
        <f t="shared" si="13"/>
        <v>204</v>
      </c>
      <c r="T9" s="262">
        <f t="shared" si="13"/>
        <v>204</v>
      </c>
      <c r="U9" s="262">
        <f t="shared" ref="U9" si="14">AA9/O9/12*1000000</f>
        <v>19679.846938775514</v>
      </c>
      <c r="V9" s="262">
        <f t="shared" ref="V9" si="15">AB9/P9/12*1000000</f>
        <v>20772.306397306398</v>
      </c>
      <c r="W9" s="262">
        <f t="shared" ref="W9" si="16">AC9/Q9/12*1000000</f>
        <v>21289.215686274511</v>
      </c>
      <c r="X9" s="262">
        <f t="shared" ref="X9" si="17">AD9/R9/12*1000000</f>
        <v>22765.114379084964</v>
      </c>
      <c r="Y9" s="262">
        <f t="shared" ref="Y9" si="18">AE9/S9/12*1000000</f>
        <v>23633.578431372553</v>
      </c>
      <c r="Z9" s="262">
        <f t="shared" ref="Z9" si="19">AF9/T9/12*1000000</f>
        <v>25611.111111111113</v>
      </c>
      <c r="AA9" s="333">
        <f t="shared" ref="AA9:AF9" si="20">AA11+AA12+AA13+AA14+AA15+AA16+AA17+AA18+AA19+AA20+AA21</f>
        <v>46.287000000000006</v>
      </c>
      <c r="AB9" s="333">
        <f t="shared" si="20"/>
        <v>49.354999999999997</v>
      </c>
      <c r="AC9" s="333">
        <f t="shared" si="20"/>
        <v>52.116</v>
      </c>
      <c r="AD9" s="333">
        <f t="shared" si="20"/>
        <v>55.728999999999999</v>
      </c>
      <c r="AE9" s="333">
        <f t="shared" si="20"/>
        <v>57.855000000000004</v>
      </c>
      <c r="AF9" s="333">
        <f t="shared" si="20"/>
        <v>62.696000000000005</v>
      </c>
      <c r="AG9" s="3"/>
      <c r="AH9" s="3"/>
    </row>
    <row r="10" spans="1:34" ht="15.75" x14ac:dyDescent="0.2">
      <c r="A10" s="124" t="s">
        <v>223</v>
      </c>
      <c r="B10" s="12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2"/>
      <c r="P10" s="42"/>
      <c r="Q10" s="42"/>
      <c r="R10" s="42"/>
      <c r="S10" s="42"/>
      <c r="T10" s="41"/>
      <c r="U10" s="41"/>
      <c r="V10" s="41"/>
      <c r="W10" s="41"/>
      <c r="X10" s="41"/>
      <c r="Y10" s="41"/>
      <c r="Z10" s="41"/>
      <c r="AA10" s="118"/>
      <c r="AB10" s="118"/>
      <c r="AC10" s="118"/>
      <c r="AD10" s="118"/>
      <c r="AE10" s="118"/>
      <c r="AF10" s="118"/>
      <c r="AG10" s="3"/>
      <c r="AH10" s="3"/>
    </row>
    <row r="11" spans="1:34" ht="15.75" x14ac:dyDescent="0.2">
      <c r="A11" s="43" t="s">
        <v>304</v>
      </c>
      <c r="B11" s="124" t="s">
        <v>305</v>
      </c>
      <c r="C11" s="41">
        <v>42.11</v>
      </c>
      <c r="D11" s="41">
        <v>42.8</v>
      </c>
      <c r="E11" s="41">
        <v>43</v>
      </c>
      <c r="F11" s="41">
        <v>45</v>
      </c>
      <c r="G11" s="41">
        <v>46</v>
      </c>
      <c r="H11" s="41">
        <v>47</v>
      </c>
      <c r="I11" s="41">
        <v>3.8119999999999998</v>
      </c>
      <c r="J11" s="41">
        <v>3.9020000000000001</v>
      </c>
      <c r="K11" s="41">
        <v>4</v>
      </c>
      <c r="L11" s="41">
        <v>4.0999999999999996</v>
      </c>
      <c r="M11" s="41">
        <v>4.3</v>
      </c>
      <c r="N11" s="41">
        <v>4.7</v>
      </c>
      <c r="O11" s="42">
        <v>74</v>
      </c>
      <c r="P11" s="42">
        <v>76</v>
      </c>
      <c r="Q11" s="41">
        <v>76</v>
      </c>
      <c r="R11" s="41">
        <v>76</v>
      </c>
      <c r="S11" s="41">
        <v>76</v>
      </c>
      <c r="T11" s="41">
        <v>76</v>
      </c>
      <c r="U11" s="259">
        <f t="shared" ref="U11:Z21" si="21">AA11/O11/12*1000000</f>
        <v>13513.513513513515</v>
      </c>
      <c r="V11" s="259">
        <f t="shared" si="21"/>
        <v>14144.736842105263</v>
      </c>
      <c r="W11" s="259">
        <f t="shared" si="21"/>
        <v>14254.385964912282</v>
      </c>
      <c r="X11" s="41">
        <f t="shared" si="21"/>
        <v>15350.877192982456</v>
      </c>
      <c r="Y11" s="41">
        <f t="shared" si="21"/>
        <v>16008.771929824559</v>
      </c>
      <c r="Z11" s="41">
        <f t="shared" si="21"/>
        <v>17214.912280701756</v>
      </c>
      <c r="AA11" s="118">
        <v>12</v>
      </c>
      <c r="AB11" s="118">
        <v>12.9</v>
      </c>
      <c r="AC11" s="118">
        <v>13</v>
      </c>
      <c r="AD11" s="118">
        <v>14</v>
      </c>
      <c r="AE11" s="118">
        <v>14.6</v>
      </c>
      <c r="AF11" s="118">
        <v>15.7</v>
      </c>
      <c r="AG11" s="3"/>
      <c r="AH11" s="3"/>
    </row>
    <row r="12" spans="1:34" ht="15.75" x14ac:dyDescent="0.2">
      <c r="A12" s="43" t="s">
        <v>306</v>
      </c>
      <c r="B12" s="124" t="s">
        <v>307</v>
      </c>
      <c r="C12" s="41">
        <v>40</v>
      </c>
      <c r="D12" s="41">
        <v>50</v>
      </c>
      <c r="E12" s="41">
        <v>80</v>
      </c>
      <c r="F12" s="41">
        <v>100</v>
      </c>
      <c r="G12" s="41">
        <v>100</v>
      </c>
      <c r="H12" s="41">
        <v>110</v>
      </c>
      <c r="I12" s="41">
        <v>10</v>
      </c>
      <c r="J12" s="41">
        <v>20</v>
      </c>
      <c r="K12" s="41">
        <v>30</v>
      </c>
      <c r="L12" s="41">
        <v>50</v>
      </c>
      <c r="M12" s="41">
        <v>51</v>
      </c>
      <c r="N12" s="41">
        <v>52</v>
      </c>
      <c r="O12" s="42">
        <v>4</v>
      </c>
      <c r="P12" s="42">
        <v>2</v>
      </c>
      <c r="Q12" s="41">
        <v>5</v>
      </c>
      <c r="R12" s="41">
        <v>5</v>
      </c>
      <c r="S12" s="41">
        <v>5</v>
      </c>
      <c r="T12" s="41">
        <v>5</v>
      </c>
      <c r="U12" s="259">
        <f t="shared" si="21"/>
        <v>16666.666666666668</v>
      </c>
      <c r="V12" s="259">
        <f t="shared" si="21"/>
        <v>62500</v>
      </c>
      <c r="W12" s="259">
        <f t="shared" si="21"/>
        <v>41666.666666666664</v>
      </c>
      <c r="X12" s="41">
        <f t="shared" si="21"/>
        <v>58333.333333333328</v>
      </c>
      <c r="Y12" s="41">
        <f t="shared" si="21"/>
        <v>65000</v>
      </c>
      <c r="Z12" s="41">
        <f t="shared" si="21"/>
        <v>71666.666666666672</v>
      </c>
      <c r="AA12" s="118">
        <v>0.8</v>
      </c>
      <c r="AB12" s="118">
        <v>1.5</v>
      </c>
      <c r="AC12" s="118">
        <v>2.5</v>
      </c>
      <c r="AD12" s="118">
        <v>3.5</v>
      </c>
      <c r="AE12" s="118">
        <v>3.9</v>
      </c>
      <c r="AF12" s="118">
        <v>4.3</v>
      </c>
      <c r="AG12" s="3"/>
      <c r="AH12" s="3"/>
    </row>
    <row r="13" spans="1:34" ht="31.5" x14ac:dyDescent="0.2">
      <c r="A13" s="43" t="s">
        <v>308</v>
      </c>
      <c r="B13" s="124" t="s">
        <v>307</v>
      </c>
      <c r="C13" s="41">
        <v>474.83800000000002</v>
      </c>
      <c r="D13" s="41">
        <v>493.83100000000002</v>
      </c>
      <c r="E13" s="41">
        <v>513.58500000000004</v>
      </c>
      <c r="F13" s="41">
        <v>534.12800000000004</v>
      </c>
      <c r="G13" s="41">
        <v>534.12800000000004</v>
      </c>
      <c r="H13" s="41">
        <v>633.23099999999999</v>
      </c>
      <c r="I13" s="41">
        <v>84.774000000000001</v>
      </c>
      <c r="J13" s="41">
        <v>88.165000000000006</v>
      </c>
      <c r="K13" s="41">
        <v>91.691999999999993</v>
      </c>
      <c r="L13" s="41">
        <v>95.358999999999995</v>
      </c>
      <c r="M13" s="41">
        <v>96.122</v>
      </c>
      <c r="N13" s="41">
        <v>97.352000000000004</v>
      </c>
      <c r="O13" s="42">
        <v>70</v>
      </c>
      <c r="P13" s="42">
        <v>70</v>
      </c>
      <c r="Q13" s="41">
        <v>70</v>
      </c>
      <c r="R13" s="41">
        <v>70</v>
      </c>
      <c r="S13" s="41">
        <v>70</v>
      </c>
      <c r="T13" s="41">
        <v>70</v>
      </c>
      <c r="U13" s="259">
        <f t="shared" si="21"/>
        <v>25301.190476190477</v>
      </c>
      <c r="V13" s="259">
        <f t="shared" si="21"/>
        <v>26313.095238095244</v>
      </c>
      <c r="W13" s="259">
        <f t="shared" si="21"/>
        <v>27365.476190476191</v>
      </c>
      <c r="X13" s="41">
        <f t="shared" si="21"/>
        <v>28460.714285714283</v>
      </c>
      <c r="Y13" s="41">
        <f t="shared" si="21"/>
        <v>28755.952380952382</v>
      </c>
      <c r="Z13" s="41">
        <f t="shared" si="21"/>
        <v>30513.095238095237</v>
      </c>
      <c r="AA13" s="118">
        <v>21.253</v>
      </c>
      <c r="AB13" s="118">
        <v>22.103000000000002</v>
      </c>
      <c r="AC13" s="118">
        <v>22.986999999999998</v>
      </c>
      <c r="AD13" s="118">
        <v>23.907</v>
      </c>
      <c r="AE13" s="118">
        <v>24.155000000000001</v>
      </c>
      <c r="AF13" s="118">
        <v>25.631</v>
      </c>
      <c r="AG13" s="3"/>
      <c r="AH13" s="3"/>
    </row>
    <row r="14" spans="1:34" ht="15.75" x14ac:dyDescent="0.2">
      <c r="A14" s="43" t="s">
        <v>309</v>
      </c>
      <c r="B14" s="124" t="s">
        <v>310</v>
      </c>
      <c r="C14" s="258">
        <v>67</v>
      </c>
      <c r="D14" s="258">
        <v>68</v>
      </c>
      <c r="E14" s="258">
        <v>69</v>
      </c>
      <c r="F14" s="41">
        <v>70</v>
      </c>
      <c r="G14" s="41">
        <v>70</v>
      </c>
      <c r="H14" s="41">
        <v>71</v>
      </c>
      <c r="I14" s="41">
        <v>1.5</v>
      </c>
      <c r="J14" s="41">
        <v>1.6</v>
      </c>
      <c r="K14" s="41">
        <v>1.7</v>
      </c>
      <c r="L14" s="41">
        <v>1.8</v>
      </c>
      <c r="M14" s="41">
        <v>1.9</v>
      </c>
      <c r="N14" s="41">
        <v>2.1</v>
      </c>
      <c r="O14" s="42">
        <v>10</v>
      </c>
      <c r="P14" s="42">
        <v>10</v>
      </c>
      <c r="Q14" s="41">
        <v>11</v>
      </c>
      <c r="R14" s="41">
        <v>11</v>
      </c>
      <c r="S14" s="41">
        <v>11</v>
      </c>
      <c r="T14" s="41">
        <v>11</v>
      </c>
      <c r="U14" s="259">
        <f t="shared" si="21"/>
        <v>12499.999999999998</v>
      </c>
      <c r="V14" s="259">
        <f t="shared" si="21"/>
        <v>13333.333333333334</v>
      </c>
      <c r="W14" s="259">
        <f t="shared" si="21"/>
        <v>12878.787878787878</v>
      </c>
      <c r="X14" s="41">
        <f t="shared" si="21"/>
        <v>13636.363636363636</v>
      </c>
      <c r="Y14" s="41">
        <f t="shared" si="21"/>
        <v>14393.939393939394</v>
      </c>
      <c r="Z14" s="41">
        <f t="shared" si="21"/>
        <v>16666.666666666668</v>
      </c>
      <c r="AA14" s="118">
        <v>1.5</v>
      </c>
      <c r="AB14" s="118">
        <v>1.6</v>
      </c>
      <c r="AC14" s="118">
        <v>1.7</v>
      </c>
      <c r="AD14" s="118">
        <v>1.8</v>
      </c>
      <c r="AE14" s="118">
        <v>1.9</v>
      </c>
      <c r="AF14" s="118">
        <v>2.2000000000000002</v>
      </c>
      <c r="AG14" s="3"/>
      <c r="AH14" s="3"/>
    </row>
    <row r="15" spans="1:34" ht="15.75" x14ac:dyDescent="0.2">
      <c r="A15" s="43" t="s">
        <v>311</v>
      </c>
      <c r="B15" s="124" t="s">
        <v>312</v>
      </c>
      <c r="C15" s="41">
        <v>7.95</v>
      </c>
      <c r="D15" s="41">
        <v>7.97</v>
      </c>
      <c r="E15" s="41">
        <v>7.98</v>
      </c>
      <c r="F15" s="41">
        <v>7.99</v>
      </c>
      <c r="G15" s="41">
        <v>8.1020000000000003</v>
      </c>
      <c r="H15" s="41">
        <v>9.0229999999999997</v>
      </c>
      <c r="I15" s="41">
        <v>0.08</v>
      </c>
      <c r="J15" s="41">
        <v>8.5000000000000006E-2</v>
      </c>
      <c r="K15" s="41">
        <v>9.5000000000000001E-2</v>
      </c>
      <c r="L15" s="41">
        <v>9.7000000000000003E-2</v>
      </c>
      <c r="M15" s="41">
        <v>0.10199999999999999</v>
      </c>
      <c r="N15" s="41">
        <v>0.123</v>
      </c>
      <c r="O15" s="42">
        <v>2</v>
      </c>
      <c r="P15" s="42">
        <v>2</v>
      </c>
      <c r="Q15" s="42">
        <v>2</v>
      </c>
      <c r="R15" s="42">
        <v>2</v>
      </c>
      <c r="S15" s="42">
        <v>2</v>
      </c>
      <c r="T15" s="42">
        <v>2</v>
      </c>
      <c r="U15" s="259">
        <f t="shared" si="21"/>
        <v>16458.333333333336</v>
      </c>
      <c r="V15" s="259">
        <f t="shared" si="21"/>
        <v>16666.666666666668</v>
      </c>
      <c r="W15" s="259">
        <f t="shared" si="21"/>
        <v>17083.333333333332</v>
      </c>
      <c r="X15" s="41">
        <f t="shared" si="21"/>
        <v>17291.666666666668</v>
      </c>
      <c r="Y15" s="41">
        <f t="shared" si="21"/>
        <v>20291.666666666668</v>
      </c>
      <c r="Z15" s="41">
        <f t="shared" si="21"/>
        <v>21833.333333333332</v>
      </c>
      <c r="AA15" s="118">
        <v>0.39500000000000002</v>
      </c>
      <c r="AB15" s="118">
        <v>0.4</v>
      </c>
      <c r="AC15" s="118">
        <v>0.41</v>
      </c>
      <c r="AD15" s="118">
        <v>0.41499999999999998</v>
      </c>
      <c r="AE15" s="118">
        <v>0.48699999999999999</v>
      </c>
      <c r="AF15" s="118">
        <v>0.52400000000000002</v>
      </c>
      <c r="AG15" s="3"/>
      <c r="AH15" s="3"/>
    </row>
    <row r="16" spans="1:34" ht="15.75" x14ac:dyDescent="0.2">
      <c r="A16" s="43" t="s">
        <v>313</v>
      </c>
      <c r="B16" s="124" t="s">
        <v>314</v>
      </c>
      <c r="C16" s="41">
        <v>9.6999999999999993</v>
      </c>
      <c r="D16" s="41">
        <v>9.7560000000000002</v>
      </c>
      <c r="E16" s="41">
        <v>9.8000000000000007</v>
      </c>
      <c r="F16" s="41">
        <v>10.1</v>
      </c>
      <c r="G16" s="41">
        <v>10.5</v>
      </c>
      <c r="H16" s="41">
        <v>10.9</v>
      </c>
      <c r="I16" s="41">
        <v>0.69</v>
      </c>
      <c r="J16" s="41">
        <v>0.71</v>
      </c>
      <c r="K16" s="41">
        <v>0.72</v>
      </c>
      <c r="L16" s="41">
        <v>0.75</v>
      </c>
      <c r="M16" s="41">
        <v>0.81</v>
      </c>
      <c r="N16" s="41">
        <v>0.98099999999999998</v>
      </c>
      <c r="O16" s="42">
        <v>6</v>
      </c>
      <c r="P16" s="42">
        <v>7</v>
      </c>
      <c r="Q16" s="41">
        <v>8</v>
      </c>
      <c r="R16" s="41">
        <v>8</v>
      </c>
      <c r="S16" s="41">
        <v>8</v>
      </c>
      <c r="T16" s="41">
        <v>8</v>
      </c>
      <c r="U16" s="259">
        <f t="shared" si="21"/>
        <v>11041.666666666666</v>
      </c>
      <c r="V16" s="259">
        <f t="shared" si="21"/>
        <v>9666.6666666666679</v>
      </c>
      <c r="W16" s="259">
        <f t="shared" si="21"/>
        <v>8708.3333333333339</v>
      </c>
      <c r="X16" s="41">
        <f t="shared" si="21"/>
        <v>9489.5833333333339</v>
      </c>
      <c r="Y16" s="41">
        <f t="shared" si="21"/>
        <v>9708.3333333333339</v>
      </c>
      <c r="Z16" s="41">
        <f t="shared" si="21"/>
        <v>10760.416666666666</v>
      </c>
      <c r="AA16" s="118">
        <v>0.79500000000000004</v>
      </c>
      <c r="AB16" s="118">
        <v>0.81200000000000006</v>
      </c>
      <c r="AC16" s="118">
        <v>0.83599999999999997</v>
      </c>
      <c r="AD16" s="118">
        <v>0.91100000000000003</v>
      </c>
      <c r="AE16" s="118">
        <v>0.93200000000000005</v>
      </c>
      <c r="AF16" s="118">
        <v>1.0329999999999999</v>
      </c>
      <c r="AG16" s="3"/>
      <c r="AH16" s="3"/>
    </row>
    <row r="17" spans="1:34" ht="15.75" x14ac:dyDescent="0.2">
      <c r="A17" s="43" t="s">
        <v>315</v>
      </c>
      <c r="B17" s="124" t="s">
        <v>316</v>
      </c>
      <c r="C17" s="41">
        <v>8.94</v>
      </c>
      <c r="D17" s="41">
        <v>9.2560000000000002</v>
      </c>
      <c r="E17" s="41">
        <v>9.5</v>
      </c>
      <c r="F17" s="41">
        <v>9.8000000000000007</v>
      </c>
      <c r="G17" s="41">
        <v>10.029999999999999</v>
      </c>
      <c r="H17" s="41">
        <v>11.4</v>
      </c>
      <c r="I17" s="41">
        <v>0.72099999999999997</v>
      </c>
      <c r="J17" s="41">
        <v>0.95599999999999996</v>
      </c>
      <c r="K17" s="41">
        <v>1</v>
      </c>
      <c r="L17" s="41">
        <v>1.3</v>
      </c>
      <c r="M17" s="41">
        <v>1.5</v>
      </c>
      <c r="N17" s="41">
        <v>1.7</v>
      </c>
      <c r="O17" s="42">
        <v>3</v>
      </c>
      <c r="P17" s="42">
        <v>3</v>
      </c>
      <c r="Q17" s="41">
        <v>3</v>
      </c>
      <c r="R17" s="41">
        <v>3</v>
      </c>
      <c r="S17" s="41">
        <v>3</v>
      </c>
      <c r="T17" s="41">
        <v>3</v>
      </c>
      <c r="U17" s="259">
        <f t="shared" si="21"/>
        <v>26666.666666666668</v>
      </c>
      <c r="V17" s="259">
        <f t="shared" si="21"/>
        <v>27500</v>
      </c>
      <c r="W17" s="259">
        <f t="shared" si="21"/>
        <v>27777.777777777777</v>
      </c>
      <c r="X17" s="41">
        <f t="shared" si="21"/>
        <v>33333.333333333336</v>
      </c>
      <c r="Y17" s="41">
        <f t="shared" si="21"/>
        <v>36111.111111111117</v>
      </c>
      <c r="Z17" s="41">
        <f t="shared" si="21"/>
        <v>38888.888888888883</v>
      </c>
      <c r="AA17" s="118">
        <v>0.96</v>
      </c>
      <c r="AB17" s="118">
        <v>0.99</v>
      </c>
      <c r="AC17" s="118">
        <v>1</v>
      </c>
      <c r="AD17" s="118">
        <v>1.2</v>
      </c>
      <c r="AE17" s="118">
        <v>1.3</v>
      </c>
      <c r="AF17" s="118">
        <v>1.4</v>
      </c>
      <c r="AG17" s="3"/>
      <c r="AH17" s="3"/>
    </row>
    <row r="18" spans="1:34" ht="15.75" x14ac:dyDescent="0.2">
      <c r="A18" s="43" t="s">
        <v>317</v>
      </c>
      <c r="B18" s="124" t="s">
        <v>318</v>
      </c>
      <c r="C18" s="41">
        <v>140</v>
      </c>
      <c r="D18" s="41">
        <v>140.69999999999999</v>
      </c>
      <c r="E18" s="41">
        <v>141</v>
      </c>
      <c r="F18" s="41">
        <v>141.19999999999999</v>
      </c>
      <c r="G18" s="41">
        <v>141.36000000000001</v>
      </c>
      <c r="H18" s="41">
        <v>141.89500000000001</v>
      </c>
      <c r="I18" s="41">
        <v>16</v>
      </c>
      <c r="J18" s="41">
        <v>16.5</v>
      </c>
      <c r="K18" s="41">
        <v>16.8</v>
      </c>
      <c r="L18" s="41">
        <v>17</v>
      </c>
      <c r="M18" s="41">
        <v>19</v>
      </c>
      <c r="N18" s="41">
        <v>20</v>
      </c>
      <c r="O18" s="42">
        <v>8</v>
      </c>
      <c r="P18" s="42">
        <v>9</v>
      </c>
      <c r="Q18" s="41">
        <v>10</v>
      </c>
      <c r="R18" s="41">
        <v>10</v>
      </c>
      <c r="S18" s="41">
        <v>10</v>
      </c>
      <c r="T18" s="41">
        <v>10</v>
      </c>
      <c r="U18" s="259">
        <f t="shared" si="21"/>
        <v>55979.166666666664</v>
      </c>
      <c r="V18" s="259">
        <f t="shared" si="21"/>
        <v>51944.444444444453</v>
      </c>
      <c r="W18" s="259">
        <f t="shared" si="21"/>
        <v>47733.333333333328</v>
      </c>
      <c r="X18" s="41">
        <f t="shared" si="21"/>
        <v>48550</v>
      </c>
      <c r="Y18" s="41">
        <f t="shared" si="21"/>
        <v>50091.666666666664</v>
      </c>
      <c r="Z18" s="41">
        <f t="shared" si="21"/>
        <v>57958.333333333336</v>
      </c>
      <c r="AA18" s="118">
        <v>5.3739999999999997</v>
      </c>
      <c r="AB18" s="118">
        <v>5.61</v>
      </c>
      <c r="AC18" s="118">
        <v>5.7279999999999998</v>
      </c>
      <c r="AD18" s="118">
        <v>5.8259999999999996</v>
      </c>
      <c r="AE18" s="118">
        <v>6.0110000000000001</v>
      </c>
      <c r="AF18" s="118">
        <v>6.9550000000000001</v>
      </c>
      <c r="AG18" s="3"/>
      <c r="AH18" s="3"/>
    </row>
    <row r="19" spans="1:34" ht="15.75" x14ac:dyDescent="0.2">
      <c r="A19" s="43" t="s">
        <v>319</v>
      </c>
      <c r="B19" s="124" t="s">
        <v>320</v>
      </c>
      <c r="C19" s="41">
        <v>11.9</v>
      </c>
      <c r="D19" s="41">
        <v>11.95</v>
      </c>
      <c r="E19" s="41">
        <v>12.05</v>
      </c>
      <c r="F19" s="41">
        <v>12.1</v>
      </c>
      <c r="G19" s="41">
        <v>12.7</v>
      </c>
      <c r="H19" s="41">
        <v>13.6</v>
      </c>
      <c r="I19" s="41">
        <v>0.76</v>
      </c>
      <c r="J19" s="41">
        <v>0.77</v>
      </c>
      <c r="K19" s="41">
        <v>0.79</v>
      </c>
      <c r="L19" s="41">
        <v>0.8</v>
      </c>
      <c r="M19" s="41">
        <v>0.88</v>
      </c>
      <c r="N19" s="41">
        <v>0.93200000000000005</v>
      </c>
      <c r="O19" s="42">
        <v>2</v>
      </c>
      <c r="P19" s="42">
        <v>2</v>
      </c>
      <c r="Q19" s="42">
        <v>2</v>
      </c>
      <c r="R19" s="42">
        <v>2</v>
      </c>
      <c r="S19" s="42">
        <v>2</v>
      </c>
      <c r="T19" s="42">
        <v>2</v>
      </c>
      <c r="U19" s="259">
        <f t="shared" si="21"/>
        <v>17500</v>
      </c>
      <c r="V19" s="259">
        <f t="shared" si="21"/>
        <v>17916.666666666668</v>
      </c>
      <c r="W19" s="259">
        <f t="shared" si="21"/>
        <v>18125</v>
      </c>
      <c r="X19" s="41">
        <f t="shared" si="21"/>
        <v>18333.333333333332</v>
      </c>
      <c r="Y19" s="41">
        <f t="shared" si="21"/>
        <v>23333.333333333336</v>
      </c>
      <c r="Z19" s="41">
        <f t="shared" si="21"/>
        <v>26250</v>
      </c>
      <c r="AA19" s="118">
        <v>0.42</v>
      </c>
      <c r="AB19" s="118">
        <v>0.43</v>
      </c>
      <c r="AC19" s="118">
        <v>0.435</v>
      </c>
      <c r="AD19" s="118">
        <v>0.44</v>
      </c>
      <c r="AE19" s="118">
        <v>0.56000000000000005</v>
      </c>
      <c r="AF19" s="118">
        <v>0.63</v>
      </c>
      <c r="AG19" s="3"/>
      <c r="AH19" s="3"/>
    </row>
    <row r="20" spans="1:34" ht="15.75" x14ac:dyDescent="0.2">
      <c r="A20" s="43" t="s">
        <v>321</v>
      </c>
      <c r="B20" s="124" t="s">
        <v>310</v>
      </c>
      <c r="C20" s="41">
        <v>51.8</v>
      </c>
      <c r="D20" s="41">
        <v>52</v>
      </c>
      <c r="E20" s="41">
        <v>52.2</v>
      </c>
      <c r="F20" s="41">
        <v>52.4</v>
      </c>
      <c r="G20" s="41">
        <v>52.7</v>
      </c>
      <c r="H20" s="41">
        <v>53.088999999999999</v>
      </c>
      <c r="I20" s="41">
        <v>2.8</v>
      </c>
      <c r="J20" s="41">
        <v>3</v>
      </c>
      <c r="K20" s="41">
        <v>3.4</v>
      </c>
      <c r="L20" s="41">
        <v>3.6</v>
      </c>
      <c r="M20" s="41">
        <v>3.9</v>
      </c>
      <c r="N20" s="41">
        <v>4.2</v>
      </c>
      <c r="O20" s="42">
        <v>12</v>
      </c>
      <c r="P20" s="42">
        <v>12</v>
      </c>
      <c r="Q20" s="41">
        <v>12</v>
      </c>
      <c r="R20" s="41">
        <v>12</v>
      </c>
      <c r="S20" s="41">
        <v>12</v>
      </c>
      <c r="T20" s="41">
        <v>12</v>
      </c>
      <c r="U20" s="259">
        <f t="shared" si="21"/>
        <v>15972.222222222221</v>
      </c>
      <c r="V20" s="259">
        <f t="shared" si="21"/>
        <v>17361.111111111113</v>
      </c>
      <c r="W20" s="259">
        <f t="shared" si="21"/>
        <v>20833.333333333332</v>
      </c>
      <c r="X20" s="41">
        <f t="shared" si="21"/>
        <v>22222.222222222223</v>
      </c>
      <c r="Y20" s="41">
        <f t="shared" si="21"/>
        <v>23611.111111111109</v>
      </c>
      <c r="Z20" s="41">
        <f t="shared" si="21"/>
        <v>24999.999999999996</v>
      </c>
      <c r="AA20" s="118">
        <v>2.2999999999999998</v>
      </c>
      <c r="AB20" s="118">
        <v>2.5</v>
      </c>
      <c r="AC20" s="118">
        <v>3</v>
      </c>
      <c r="AD20" s="118">
        <v>3.2</v>
      </c>
      <c r="AE20" s="118">
        <v>3.4</v>
      </c>
      <c r="AF20" s="118">
        <v>3.6</v>
      </c>
      <c r="AG20" s="3"/>
      <c r="AH20" s="3"/>
    </row>
    <row r="21" spans="1:34" ht="15.75" x14ac:dyDescent="0.2">
      <c r="A21" s="43" t="s">
        <v>322</v>
      </c>
      <c r="B21" s="124" t="s">
        <v>323</v>
      </c>
      <c r="C21" s="41">
        <v>9.5</v>
      </c>
      <c r="D21" s="41">
        <v>9.61</v>
      </c>
      <c r="E21" s="41">
        <v>9.6150000000000002</v>
      </c>
      <c r="F21" s="41">
        <v>9.6199999999999992</v>
      </c>
      <c r="G21" s="41">
        <v>9.83</v>
      </c>
      <c r="H21" s="41">
        <v>10.102</v>
      </c>
      <c r="I21" s="41">
        <v>0.79</v>
      </c>
      <c r="J21" s="41">
        <v>0.81</v>
      </c>
      <c r="K21" s="41">
        <v>0.82</v>
      </c>
      <c r="L21" s="41">
        <v>0.83</v>
      </c>
      <c r="M21" s="41">
        <v>0.85</v>
      </c>
      <c r="N21" s="41">
        <v>0.91</v>
      </c>
      <c r="O21" s="42">
        <v>5</v>
      </c>
      <c r="P21" s="42">
        <v>5</v>
      </c>
      <c r="Q21" s="42">
        <v>5</v>
      </c>
      <c r="R21" s="42">
        <v>5</v>
      </c>
      <c r="S21" s="42">
        <v>5</v>
      </c>
      <c r="T21" s="42">
        <v>5</v>
      </c>
      <c r="U21" s="259">
        <f t="shared" si="21"/>
        <v>8166.6666666666679</v>
      </c>
      <c r="V21" s="259">
        <f t="shared" si="21"/>
        <v>8500</v>
      </c>
      <c r="W21" s="259">
        <f t="shared" si="21"/>
        <v>8666.6666666666679</v>
      </c>
      <c r="X21" s="259">
        <f t="shared" si="21"/>
        <v>8833.3333333333339</v>
      </c>
      <c r="Y21" s="41">
        <f t="shared" si="21"/>
        <v>10166.666666666666</v>
      </c>
      <c r="Z21" s="41">
        <f t="shared" si="21"/>
        <v>12050</v>
      </c>
      <c r="AA21" s="118">
        <v>0.49</v>
      </c>
      <c r="AB21" s="118">
        <v>0.51</v>
      </c>
      <c r="AC21" s="118">
        <v>0.52</v>
      </c>
      <c r="AD21" s="118">
        <v>0.53</v>
      </c>
      <c r="AE21" s="118">
        <v>0.61</v>
      </c>
      <c r="AF21" s="118">
        <v>0.72299999999999998</v>
      </c>
      <c r="AG21" s="3"/>
      <c r="AH21" s="3"/>
    </row>
    <row r="22" spans="1:34" ht="15.75" x14ac:dyDescent="0.2">
      <c r="A22" s="43"/>
      <c r="B22" s="12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2"/>
      <c r="Q22" s="42"/>
      <c r="R22" s="42"/>
      <c r="S22" s="42"/>
      <c r="T22" s="41"/>
      <c r="U22" s="41"/>
      <c r="V22" s="41"/>
      <c r="W22" s="41"/>
      <c r="X22" s="41"/>
      <c r="Y22" s="41"/>
      <c r="Z22" s="41"/>
      <c r="AA22" s="118"/>
      <c r="AB22" s="118"/>
      <c r="AC22" s="118"/>
      <c r="AD22" s="118"/>
      <c r="AE22" s="118"/>
      <c r="AF22" s="118"/>
      <c r="AG22" s="3"/>
      <c r="AH22" s="3"/>
    </row>
    <row r="23" spans="1:34" ht="15.75" x14ac:dyDescent="0.2">
      <c r="A23" s="125"/>
      <c r="B23" s="124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2"/>
      <c r="Q23" s="42"/>
      <c r="R23" s="42"/>
      <c r="S23" s="42"/>
      <c r="T23" s="41"/>
      <c r="U23" s="41"/>
      <c r="V23" s="41"/>
      <c r="W23" s="41"/>
      <c r="X23" s="41"/>
      <c r="Y23" s="41"/>
      <c r="Z23" s="41"/>
      <c r="AA23" s="118"/>
      <c r="AB23" s="118"/>
      <c r="AC23" s="118"/>
      <c r="AD23" s="118"/>
      <c r="AE23" s="118"/>
      <c r="AF23" s="118"/>
      <c r="AG23" s="3"/>
      <c r="AH23" s="3"/>
    </row>
    <row r="24" spans="1:34" ht="31.5" customHeight="1" x14ac:dyDescent="0.2">
      <c r="A24" s="211" t="s">
        <v>224</v>
      </c>
      <c r="B24" s="201"/>
      <c r="C24" s="330">
        <f>C26</f>
        <v>1.706</v>
      </c>
      <c r="D24" s="330">
        <f t="shared" ref="D24:AF24" si="22">D26</f>
        <v>1.75718</v>
      </c>
      <c r="E24" s="330">
        <f t="shared" si="22"/>
        <v>1.8098954</v>
      </c>
      <c r="F24" s="330">
        <f t="shared" si="22"/>
        <v>1.905</v>
      </c>
      <c r="G24" s="330">
        <f t="shared" si="22"/>
        <v>2.0110000000000001</v>
      </c>
      <c r="H24" s="330">
        <f t="shared" si="22"/>
        <v>2.0713300000000001</v>
      </c>
      <c r="I24" s="330">
        <f t="shared" si="22"/>
        <v>0.13</v>
      </c>
      <c r="J24" s="330">
        <f t="shared" si="22"/>
        <v>0.13390000000000002</v>
      </c>
      <c r="K24" s="330">
        <f t="shared" si="22"/>
        <v>0.13791700000000001</v>
      </c>
      <c r="L24" s="330">
        <f t="shared" si="22"/>
        <v>0.14000000000000001</v>
      </c>
      <c r="M24" s="330">
        <f t="shared" si="22"/>
        <v>0.115</v>
      </c>
      <c r="N24" s="330">
        <f t="shared" si="22"/>
        <v>0.11845000000000001</v>
      </c>
      <c r="O24" s="331">
        <f t="shared" si="22"/>
        <v>35</v>
      </c>
      <c r="P24" s="331">
        <f t="shared" si="22"/>
        <v>35</v>
      </c>
      <c r="Q24" s="331">
        <f t="shared" si="22"/>
        <v>35</v>
      </c>
      <c r="R24" s="331">
        <f t="shared" si="22"/>
        <v>35</v>
      </c>
      <c r="S24" s="331">
        <f t="shared" si="22"/>
        <v>35</v>
      </c>
      <c r="T24" s="262">
        <f t="shared" si="22"/>
        <v>35</v>
      </c>
      <c r="U24" s="262">
        <f t="shared" si="22"/>
        <v>29140.476190476191</v>
      </c>
      <c r="V24" s="262">
        <f t="shared" si="22"/>
        <v>30014.690476190477</v>
      </c>
      <c r="W24" s="262">
        <f t="shared" si="22"/>
        <v>30915.13119047619</v>
      </c>
      <c r="X24" s="262">
        <f t="shared" si="22"/>
        <v>32028.571428571428</v>
      </c>
      <c r="Y24" s="262">
        <f t="shared" si="22"/>
        <v>33033.333333333336</v>
      </c>
      <c r="Z24" s="262">
        <f t="shared" si="22"/>
        <v>34585.714285714283</v>
      </c>
      <c r="AA24" s="332">
        <f t="shared" si="22"/>
        <v>12.239000000000001</v>
      </c>
      <c r="AB24" s="332">
        <f t="shared" si="22"/>
        <v>12.606170000000001</v>
      </c>
      <c r="AC24" s="332">
        <f t="shared" si="22"/>
        <v>12.9843551</v>
      </c>
      <c r="AD24" s="332">
        <f t="shared" si="22"/>
        <v>13.452</v>
      </c>
      <c r="AE24" s="332">
        <f t="shared" si="22"/>
        <v>13.874000000000001</v>
      </c>
      <c r="AF24" s="332">
        <f t="shared" si="22"/>
        <v>14.526</v>
      </c>
      <c r="AG24" s="3"/>
      <c r="AH24" s="3"/>
    </row>
    <row r="25" spans="1:34" ht="15.75" customHeight="1" x14ac:dyDescent="0.2">
      <c r="A25" s="124" t="s">
        <v>223</v>
      </c>
      <c r="B25" s="124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2"/>
      <c r="Q25" s="42"/>
      <c r="R25" s="42"/>
      <c r="S25" s="42"/>
      <c r="T25" s="41"/>
      <c r="U25" s="41"/>
      <c r="V25" s="41"/>
      <c r="W25" s="41"/>
      <c r="X25" s="41"/>
      <c r="Y25" s="41"/>
      <c r="Z25" s="41"/>
      <c r="AA25" s="118"/>
      <c r="AB25" s="118"/>
      <c r="AC25" s="118"/>
      <c r="AD25" s="118"/>
      <c r="AE25" s="118"/>
      <c r="AF25" s="118"/>
      <c r="AG25" s="3"/>
      <c r="AH25" s="3"/>
    </row>
    <row r="26" spans="1:34" ht="38.25" customHeight="1" x14ac:dyDescent="0.2">
      <c r="A26" s="126" t="s">
        <v>324</v>
      </c>
      <c r="B26" s="202" t="s">
        <v>307</v>
      </c>
      <c r="C26" s="258">
        <v>1.706</v>
      </c>
      <c r="D26" s="258">
        <f>C26*103%</f>
        <v>1.75718</v>
      </c>
      <c r="E26" s="258">
        <f>D26*103%</f>
        <v>1.8098954</v>
      </c>
      <c r="F26" s="41">
        <v>1.905</v>
      </c>
      <c r="G26" s="41">
        <v>2.0110000000000001</v>
      </c>
      <c r="H26" s="258">
        <f t="shared" ref="H26" si="23">G26*103%</f>
        <v>2.0713300000000001</v>
      </c>
      <c r="I26" s="258">
        <v>0.13</v>
      </c>
      <c r="J26" s="258">
        <f>I26*103%</f>
        <v>0.13390000000000002</v>
      </c>
      <c r="K26" s="258">
        <f>J26*103%</f>
        <v>0.13791700000000001</v>
      </c>
      <c r="L26" s="41">
        <v>0.14000000000000001</v>
      </c>
      <c r="M26" s="41">
        <v>0.115</v>
      </c>
      <c r="N26" s="258">
        <f>M26*103%</f>
        <v>0.11845000000000001</v>
      </c>
      <c r="O26" s="42">
        <v>35</v>
      </c>
      <c r="P26" s="42">
        <v>35</v>
      </c>
      <c r="Q26" s="42">
        <v>35</v>
      </c>
      <c r="R26" s="42">
        <v>35</v>
      </c>
      <c r="S26" s="41">
        <v>35</v>
      </c>
      <c r="T26" s="41">
        <v>35</v>
      </c>
      <c r="U26" s="41">
        <f t="shared" ref="U26:Z26" si="24">AA26/O26/12*1000000</f>
        <v>29140.476190476191</v>
      </c>
      <c r="V26" s="41">
        <f t="shared" si="24"/>
        <v>30014.690476190477</v>
      </c>
      <c r="W26" s="41">
        <f t="shared" si="24"/>
        <v>30915.13119047619</v>
      </c>
      <c r="X26" s="41">
        <f t="shared" si="24"/>
        <v>32028.571428571428</v>
      </c>
      <c r="Y26" s="41">
        <f t="shared" si="24"/>
        <v>33033.333333333336</v>
      </c>
      <c r="Z26" s="41">
        <f t="shared" si="24"/>
        <v>34585.714285714283</v>
      </c>
      <c r="AA26" s="260">
        <v>12.239000000000001</v>
      </c>
      <c r="AB26" s="260">
        <f>AA26*103%</f>
        <v>12.606170000000001</v>
      </c>
      <c r="AC26" s="260">
        <f>AB26*103%</f>
        <v>12.9843551</v>
      </c>
      <c r="AD26" s="118">
        <v>13.452</v>
      </c>
      <c r="AE26" s="118">
        <v>13.874000000000001</v>
      </c>
      <c r="AF26" s="118">
        <v>14.526</v>
      </c>
      <c r="AG26" s="3"/>
      <c r="AH26" s="3"/>
    </row>
    <row r="27" spans="1:34" ht="15.75" customHeight="1" x14ac:dyDescent="0.2">
      <c r="A27" s="124"/>
      <c r="B27" s="124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2"/>
      <c r="Q27" s="42"/>
      <c r="R27" s="42"/>
      <c r="S27" s="42"/>
      <c r="T27" s="41"/>
      <c r="U27" s="41"/>
      <c r="V27" s="41"/>
      <c r="W27" s="41"/>
      <c r="X27" s="41"/>
      <c r="Y27" s="41"/>
      <c r="Z27" s="41"/>
      <c r="AA27" s="118"/>
      <c r="AB27" s="118"/>
      <c r="AC27" s="118"/>
      <c r="AD27" s="118"/>
      <c r="AE27" s="118"/>
      <c r="AF27" s="118"/>
      <c r="AG27" s="3"/>
      <c r="AH27" s="3"/>
    </row>
    <row r="28" spans="1:34" ht="43.5" customHeight="1" x14ac:dyDescent="0.2">
      <c r="A28" s="212" t="s">
        <v>225</v>
      </c>
      <c r="B28" s="124"/>
      <c r="C28" s="330">
        <f>C32+C33</f>
        <v>246.38800000000001</v>
      </c>
      <c r="D28" s="330">
        <f t="shared" ref="D28:T28" si="25">D32+D33</f>
        <v>253.77964000000003</v>
      </c>
      <c r="E28" s="330">
        <f t="shared" si="25"/>
        <v>261.39302920000006</v>
      </c>
      <c r="F28" s="330">
        <f t="shared" si="25"/>
        <v>270.43599999999998</v>
      </c>
      <c r="G28" s="330">
        <f t="shared" si="25"/>
        <v>288.63200000000001</v>
      </c>
      <c r="H28" s="330">
        <f t="shared" si="25"/>
        <v>297.29096000000004</v>
      </c>
      <c r="I28" s="330">
        <f t="shared" si="25"/>
        <v>4.1379999999999999</v>
      </c>
      <c r="J28" s="330">
        <f t="shared" si="25"/>
        <v>4.2621400000000005</v>
      </c>
      <c r="K28" s="330">
        <f t="shared" si="25"/>
        <v>4.3900041999999999</v>
      </c>
      <c r="L28" s="330">
        <f t="shared" si="25"/>
        <v>4.5229999999999997</v>
      </c>
      <c r="M28" s="330">
        <f t="shared" si="25"/>
        <v>4.8090000000000002</v>
      </c>
      <c r="N28" s="330">
        <f t="shared" si="25"/>
        <v>4.9532699999999998</v>
      </c>
      <c r="O28" s="331">
        <f t="shared" si="25"/>
        <v>14</v>
      </c>
      <c r="P28" s="331">
        <f t="shared" si="25"/>
        <v>14</v>
      </c>
      <c r="Q28" s="331">
        <f t="shared" si="25"/>
        <v>14</v>
      </c>
      <c r="R28" s="331">
        <f t="shared" si="25"/>
        <v>14</v>
      </c>
      <c r="S28" s="331">
        <f t="shared" si="25"/>
        <v>14</v>
      </c>
      <c r="T28" s="262">
        <f t="shared" si="25"/>
        <v>14</v>
      </c>
      <c r="U28" s="335">
        <f t="shared" ref="U28" si="26">AA28/O28/12*1000000</f>
        <v>26511.904761904763</v>
      </c>
      <c r="V28" s="335">
        <f t="shared" ref="V28" si="27">AB28/P28/12*1000000</f>
        <v>27307.261904761908</v>
      </c>
      <c r="W28" s="335">
        <f t="shared" ref="W28" si="28">AC28/Q28/12*1000000</f>
        <v>28126.479761904768</v>
      </c>
      <c r="X28" s="335">
        <f t="shared" ref="X28" si="29">AD28/R28/12*1000000</f>
        <v>31327.380952380954</v>
      </c>
      <c r="Y28" s="335">
        <f t="shared" ref="Y28" si="30">AE28/S28/12*1000000</f>
        <v>34952.380952380947</v>
      </c>
      <c r="Z28" s="335">
        <f t="shared" ref="Z28" si="31">AF28/T28/12*1000000</f>
        <v>39345.238095238092</v>
      </c>
      <c r="AA28" s="334">
        <f t="shared" ref="AA28:AF28" si="32">AA32+AA33</f>
        <v>4.4540000000000006</v>
      </c>
      <c r="AB28" s="334">
        <f t="shared" si="32"/>
        <v>4.5876200000000003</v>
      </c>
      <c r="AC28" s="334">
        <f t="shared" si="32"/>
        <v>4.7252486000000005</v>
      </c>
      <c r="AD28" s="334">
        <f t="shared" si="32"/>
        <v>5.2629999999999999</v>
      </c>
      <c r="AE28" s="334">
        <f t="shared" si="32"/>
        <v>5.8719999999999999</v>
      </c>
      <c r="AF28" s="334">
        <f t="shared" si="32"/>
        <v>6.61</v>
      </c>
      <c r="AG28" s="3"/>
      <c r="AH28" s="3"/>
    </row>
    <row r="29" spans="1:34" ht="15.75" x14ac:dyDescent="0.2">
      <c r="A29" s="124" t="s">
        <v>31</v>
      </c>
      <c r="B29" s="124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2"/>
      <c r="Q29" s="42"/>
      <c r="R29" s="42"/>
      <c r="S29" s="42"/>
      <c r="T29" s="41"/>
      <c r="U29" s="41"/>
      <c r="V29" s="41"/>
      <c r="W29" s="41"/>
      <c r="X29" s="41"/>
      <c r="Y29" s="41"/>
      <c r="Z29" s="41"/>
      <c r="AA29" s="118"/>
      <c r="AB29" s="118"/>
      <c r="AC29" s="118"/>
      <c r="AD29" s="118"/>
      <c r="AE29" s="118"/>
      <c r="AF29" s="118"/>
      <c r="AG29" s="3"/>
      <c r="AH29" s="3"/>
    </row>
    <row r="30" spans="1:34" ht="15.75" x14ac:dyDescent="0.2">
      <c r="A30" s="209" t="s">
        <v>226</v>
      </c>
      <c r="B30" s="202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2"/>
      <c r="P30" s="42"/>
      <c r="Q30" s="42"/>
      <c r="R30" s="42"/>
      <c r="S30" s="42"/>
      <c r="T30" s="41"/>
      <c r="U30" s="41"/>
      <c r="V30" s="41"/>
      <c r="W30" s="41"/>
      <c r="X30" s="41"/>
      <c r="Y30" s="41"/>
      <c r="Z30" s="41"/>
      <c r="AA30" s="118"/>
      <c r="AB30" s="118"/>
      <c r="AC30" s="118"/>
      <c r="AD30" s="118"/>
      <c r="AE30" s="118"/>
      <c r="AF30" s="118"/>
      <c r="AG30" s="3"/>
      <c r="AH30" s="3"/>
    </row>
    <row r="31" spans="1:34" ht="15.75" customHeight="1" x14ac:dyDescent="0.2">
      <c r="A31" s="124" t="s">
        <v>223</v>
      </c>
      <c r="B31" s="124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2"/>
      <c r="P31" s="42"/>
      <c r="Q31" s="42"/>
      <c r="R31" s="42"/>
      <c r="S31" s="42"/>
      <c r="T31" s="41"/>
      <c r="U31" s="41"/>
      <c r="V31" s="41"/>
      <c r="W31" s="41"/>
      <c r="X31" s="41"/>
      <c r="Y31" s="41"/>
      <c r="Z31" s="41"/>
      <c r="AA31" s="118"/>
      <c r="AB31" s="118"/>
      <c r="AC31" s="118"/>
      <c r="AD31" s="118"/>
      <c r="AE31" s="118"/>
      <c r="AF31" s="118"/>
      <c r="AG31" s="3"/>
      <c r="AH31" s="3"/>
    </row>
    <row r="32" spans="1:34" ht="15.75" customHeight="1" x14ac:dyDescent="0.2">
      <c r="A32" s="43" t="s">
        <v>325</v>
      </c>
      <c r="B32" s="124" t="s">
        <v>326</v>
      </c>
      <c r="C32" s="258">
        <v>222.49100000000001</v>
      </c>
      <c r="D32" s="258">
        <f t="shared" ref="D32:E33" si="33">C32*103%</f>
        <v>229.16573000000002</v>
      </c>
      <c r="E32" s="258">
        <f t="shared" si="33"/>
        <v>236.04070190000004</v>
      </c>
      <c r="F32" s="258">
        <v>244.125</v>
      </c>
      <c r="G32" s="258">
        <v>261.3</v>
      </c>
      <c r="H32" s="258">
        <f t="shared" ref="H32:K33" si="34">G32*103%</f>
        <v>269.13900000000001</v>
      </c>
      <c r="I32" s="258">
        <v>3.28</v>
      </c>
      <c r="J32" s="258">
        <f t="shared" si="34"/>
        <v>3.3784000000000001</v>
      </c>
      <c r="K32" s="258">
        <f t="shared" si="34"/>
        <v>3.479752</v>
      </c>
      <c r="L32" s="258">
        <v>3.601</v>
      </c>
      <c r="M32" s="258">
        <v>3.8210000000000002</v>
      </c>
      <c r="N32" s="258">
        <f t="shared" ref="N32:N33" si="35">M32*103%</f>
        <v>3.9356300000000002</v>
      </c>
      <c r="O32" s="42">
        <v>5</v>
      </c>
      <c r="P32" s="42">
        <v>5</v>
      </c>
      <c r="Q32" s="42">
        <v>5</v>
      </c>
      <c r="R32" s="42">
        <v>5</v>
      </c>
      <c r="S32" s="41">
        <v>5</v>
      </c>
      <c r="T32" s="41">
        <v>5</v>
      </c>
      <c r="U32" s="259">
        <f t="shared" ref="U32:Z33" si="36">AA32/O32/12*1000000</f>
        <v>17933.333333333332</v>
      </c>
      <c r="V32" s="259">
        <f t="shared" si="36"/>
        <v>18471.333333333336</v>
      </c>
      <c r="W32" s="259">
        <f t="shared" si="36"/>
        <v>19025.473333333335</v>
      </c>
      <c r="X32" s="259">
        <f t="shared" si="36"/>
        <v>20866.666666666668</v>
      </c>
      <c r="Y32" s="41">
        <f t="shared" si="36"/>
        <v>21849.999999999996</v>
      </c>
      <c r="Z32" s="41">
        <f t="shared" si="36"/>
        <v>24700</v>
      </c>
      <c r="AA32" s="260">
        <v>1.0760000000000001</v>
      </c>
      <c r="AB32" s="260">
        <f t="shared" ref="AB32:AC33" si="37">AA32*103%</f>
        <v>1.1082800000000002</v>
      </c>
      <c r="AC32" s="260">
        <f t="shared" si="37"/>
        <v>1.1415284000000001</v>
      </c>
      <c r="AD32" s="118">
        <v>1.252</v>
      </c>
      <c r="AE32" s="118">
        <v>1.3109999999999999</v>
      </c>
      <c r="AF32" s="118">
        <v>1.482</v>
      </c>
      <c r="AG32" s="3"/>
      <c r="AH32" s="3"/>
    </row>
    <row r="33" spans="1:34" ht="15.75" customHeight="1" x14ac:dyDescent="0.2">
      <c r="A33" s="125" t="s">
        <v>327</v>
      </c>
      <c r="B33" s="124" t="s">
        <v>323</v>
      </c>
      <c r="C33" s="258">
        <v>23.896999999999998</v>
      </c>
      <c r="D33" s="258">
        <f t="shared" si="33"/>
        <v>24.613910000000001</v>
      </c>
      <c r="E33" s="258">
        <f t="shared" si="33"/>
        <v>25.352327300000002</v>
      </c>
      <c r="F33" s="258">
        <v>26.311</v>
      </c>
      <c r="G33" s="258">
        <v>27.332000000000001</v>
      </c>
      <c r="H33" s="258">
        <f t="shared" si="34"/>
        <v>28.151960000000003</v>
      </c>
      <c r="I33" s="258">
        <v>0.85799999999999998</v>
      </c>
      <c r="J33" s="258">
        <f t="shared" si="34"/>
        <v>0.88373999999999997</v>
      </c>
      <c r="K33" s="258">
        <f t="shared" si="34"/>
        <v>0.91025219999999996</v>
      </c>
      <c r="L33" s="258">
        <v>0.92200000000000004</v>
      </c>
      <c r="M33" s="258">
        <v>0.98799999999999999</v>
      </c>
      <c r="N33" s="258">
        <f t="shared" si="35"/>
        <v>1.0176400000000001</v>
      </c>
      <c r="O33" s="42">
        <v>9</v>
      </c>
      <c r="P33" s="42">
        <v>9</v>
      </c>
      <c r="Q33" s="42">
        <v>9</v>
      </c>
      <c r="R33" s="42">
        <v>9</v>
      </c>
      <c r="S33" s="41">
        <v>9</v>
      </c>
      <c r="T33" s="41">
        <v>9</v>
      </c>
      <c r="U33" s="259">
        <f t="shared" si="36"/>
        <v>31277.777777777781</v>
      </c>
      <c r="V33" s="259">
        <f t="shared" si="36"/>
        <v>32216.111111111113</v>
      </c>
      <c r="W33" s="259">
        <f t="shared" si="36"/>
        <v>33182.594444444439</v>
      </c>
      <c r="X33" s="259">
        <f t="shared" si="36"/>
        <v>37138.888888888891</v>
      </c>
      <c r="Y33" s="41">
        <f t="shared" si="36"/>
        <v>42231.481481481482</v>
      </c>
      <c r="Z33" s="41">
        <f t="shared" si="36"/>
        <v>47481.481481481489</v>
      </c>
      <c r="AA33" s="260">
        <v>3.3780000000000001</v>
      </c>
      <c r="AB33" s="260">
        <f t="shared" si="37"/>
        <v>3.4793400000000001</v>
      </c>
      <c r="AC33" s="260">
        <f t="shared" si="37"/>
        <v>3.5837202000000001</v>
      </c>
      <c r="AD33" s="118">
        <v>4.0110000000000001</v>
      </c>
      <c r="AE33" s="118">
        <v>4.5609999999999999</v>
      </c>
      <c r="AF33" s="118">
        <v>5.1280000000000001</v>
      </c>
      <c r="AG33" s="3"/>
      <c r="AH33" s="3"/>
    </row>
    <row r="34" spans="1:34" ht="33.75" customHeight="1" x14ac:dyDescent="0.2">
      <c r="A34" s="210" t="s">
        <v>227</v>
      </c>
      <c r="B34" s="202"/>
      <c r="C34" s="336">
        <f>C36</f>
        <v>1847.06</v>
      </c>
      <c r="D34" s="336">
        <f t="shared" ref="D34:N34" si="38">D36</f>
        <v>2185.04</v>
      </c>
      <c r="E34" s="336">
        <f t="shared" si="38"/>
        <v>2316.1424000000002</v>
      </c>
      <c r="F34" s="336">
        <f t="shared" si="38"/>
        <v>2455.1</v>
      </c>
      <c r="G34" s="336">
        <f t="shared" si="38"/>
        <v>2602.4</v>
      </c>
      <c r="H34" s="336">
        <f t="shared" si="38"/>
        <v>2811.3</v>
      </c>
      <c r="I34" s="336">
        <f t="shared" si="38"/>
        <v>556.12</v>
      </c>
      <c r="J34" s="336">
        <f t="shared" si="38"/>
        <v>989.23</v>
      </c>
      <c r="K34" s="336">
        <f t="shared" si="38"/>
        <v>1048.58</v>
      </c>
      <c r="L34" s="337">
        <f t="shared" si="38"/>
        <v>1111.49</v>
      </c>
      <c r="M34" s="337">
        <f t="shared" si="38"/>
        <v>1178.19</v>
      </c>
      <c r="N34" s="337">
        <f t="shared" si="38"/>
        <v>1232.5</v>
      </c>
      <c r="O34" s="331">
        <f>O36</f>
        <v>487</v>
      </c>
      <c r="P34" s="331">
        <f t="shared" ref="P34:AF34" si="39">P36</f>
        <v>487</v>
      </c>
      <c r="Q34" s="331">
        <f t="shared" si="39"/>
        <v>487</v>
      </c>
      <c r="R34" s="331">
        <f t="shared" si="39"/>
        <v>487</v>
      </c>
      <c r="S34" s="331">
        <f t="shared" si="39"/>
        <v>487</v>
      </c>
      <c r="T34" s="262">
        <f t="shared" si="39"/>
        <v>487</v>
      </c>
      <c r="U34" s="262">
        <f t="shared" si="39"/>
        <v>52558.692676249149</v>
      </c>
      <c r="V34" s="262">
        <f t="shared" si="39"/>
        <v>30607.460643394938</v>
      </c>
      <c r="W34" s="262">
        <f t="shared" si="39"/>
        <v>30912.046543463384</v>
      </c>
      <c r="X34" s="262">
        <f t="shared" si="39"/>
        <v>31220.05475701574</v>
      </c>
      <c r="Y34" s="262">
        <f t="shared" si="39"/>
        <v>31533.196440793978</v>
      </c>
      <c r="Z34" s="262">
        <f t="shared" si="39"/>
        <v>32094.455852156054</v>
      </c>
      <c r="AA34" s="333">
        <f t="shared" si="39"/>
        <v>307.15300000000002</v>
      </c>
      <c r="AB34" s="333">
        <f t="shared" si="39"/>
        <v>178.87</v>
      </c>
      <c r="AC34" s="333">
        <f t="shared" si="39"/>
        <v>180.65</v>
      </c>
      <c r="AD34" s="333">
        <f t="shared" si="39"/>
        <v>182.45</v>
      </c>
      <c r="AE34" s="333">
        <f t="shared" si="39"/>
        <v>184.28</v>
      </c>
      <c r="AF34" s="333">
        <f t="shared" si="39"/>
        <v>187.56</v>
      </c>
      <c r="AG34" s="3"/>
      <c r="AH34" s="3"/>
    </row>
    <row r="35" spans="1:34" ht="15.75" customHeight="1" x14ac:dyDescent="0.2">
      <c r="A35" s="124" t="s">
        <v>223</v>
      </c>
      <c r="B35" s="124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2"/>
      <c r="P35" s="42"/>
      <c r="Q35" s="42"/>
      <c r="R35" s="42"/>
      <c r="S35" s="42"/>
      <c r="T35" s="41"/>
      <c r="U35" s="41"/>
      <c r="V35" s="41"/>
      <c r="W35" s="41"/>
      <c r="X35" s="41"/>
      <c r="Y35" s="41"/>
      <c r="Z35" s="41"/>
      <c r="AA35" s="118"/>
      <c r="AB35" s="118"/>
      <c r="AC35" s="118"/>
      <c r="AD35" s="118"/>
      <c r="AE35" s="118"/>
      <c r="AF35" s="118"/>
      <c r="AG35" s="3"/>
      <c r="AH35" s="3"/>
    </row>
    <row r="36" spans="1:34" ht="15.75" x14ac:dyDescent="0.2">
      <c r="A36" s="43" t="s">
        <v>328</v>
      </c>
      <c r="B36" s="124" t="s">
        <v>320</v>
      </c>
      <c r="C36" s="261">
        <v>1847.06</v>
      </c>
      <c r="D36" s="261">
        <v>2185.04</v>
      </c>
      <c r="E36" s="261">
        <f>D36*1.06</f>
        <v>2316.1424000000002</v>
      </c>
      <c r="F36" s="261">
        <v>2455.1</v>
      </c>
      <c r="G36" s="261">
        <v>2602.4</v>
      </c>
      <c r="H36" s="41">
        <v>2811.3</v>
      </c>
      <c r="I36" s="41">
        <v>556.12</v>
      </c>
      <c r="J36" s="41">
        <v>989.23</v>
      </c>
      <c r="K36" s="41">
        <v>1048.58</v>
      </c>
      <c r="L36" s="41">
        <v>1111.49</v>
      </c>
      <c r="M36" s="41">
        <v>1178.19</v>
      </c>
      <c r="N36" s="41">
        <v>1232.5</v>
      </c>
      <c r="O36" s="42">
        <v>487</v>
      </c>
      <c r="P36" s="42">
        <v>487</v>
      </c>
      <c r="Q36" s="42">
        <v>487</v>
      </c>
      <c r="R36" s="42">
        <v>487</v>
      </c>
      <c r="S36" s="262">
        <v>487</v>
      </c>
      <c r="T36" s="41">
        <v>487</v>
      </c>
      <c r="U36" s="259">
        <f>AA36/O36/12*1000000</f>
        <v>52558.692676249149</v>
      </c>
      <c r="V36" s="259">
        <f t="shared" ref="V36:X36" si="40">AB36/P36/12*1000000</f>
        <v>30607.460643394938</v>
      </c>
      <c r="W36" s="259">
        <f t="shared" si="40"/>
        <v>30912.046543463384</v>
      </c>
      <c r="X36" s="259">
        <f t="shared" si="40"/>
        <v>31220.05475701574</v>
      </c>
      <c r="Y36" s="41">
        <f>AE36/S36/12*1000000</f>
        <v>31533.196440793978</v>
      </c>
      <c r="Z36" s="41">
        <f>AF36/T36/12*1000000</f>
        <v>32094.455852156054</v>
      </c>
      <c r="AA36" s="118">
        <v>307.15300000000002</v>
      </c>
      <c r="AB36" s="118">
        <v>178.87</v>
      </c>
      <c r="AC36" s="118">
        <v>180.65</v>
      </c>
      <c r="AD36" s="118">
        <v>182.45</v>
      </c>
      <c r="AE36" s="118">
        <v>184.28</v>
      </c>
      <c r="AF36" s="118">
        <v>187.56</v>
      </c>
      <c r="AG36" s="3"/>
      <c r="AH36" s="3"/>
    </row>
    <row r="37" spans="1:34" ht="15.75" x14ac:dyDescent="0.2">
      <c r="A37" s="125"/>
      <c r="B37" s="124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2"/>
      <c r="P37" s="42"/>
      <c r="Q37" s="42"/>
      <c r="R37" s="42"/>
      <c r="S37" s="42"/>
      <c r="T37" s="41"/>
      <c r="U37" s="41"/>
      <c r="V37" s="41"/>
      <c r="W37" s="41"/>
      <c r="X37" s="41"/>
      <c r="Y37" s="41"/>
      <c r="Z37" s="41"/>
      <c r="AA37" s="118"/>
      <c r="AB37" s="118"/>
      <c r="AC37" s="118"/>
      <c r="AD37" s="118"/>
      <c r="AE37" s="118"/>
      <c r="AF37" s="118"/>
      <c r="AG37" s="3"/>
      <c r="AH37" s="3"/>
    </row>
    <row r="38" spans="1:34" ht="37.5" x14ac:dyDescent="0.2">
      <c r="A38" s="213" t="s">
        <v>228</v>
      </c>
      <c r="B38" s="202"/>
      <c r="C38" s="330">
        <f>C40+C44</f>
        <v>21.408000000000001</v>
      </c>
      <c r="D38" s="330">
        <f t="shared" ref="D38:T38" si="41">D40+D44</f>
        <v>21.960139999999999</v>
      </c>
      <c r="E38" s="330">
        <f t="shared" si="41"/>
        <v>22.546444199999996</v>
      </c>
      <c r="F38" s="330">
        <f t="shared" si="41"/>
        <v>23.047337526</v>
      </c>
      <c r="G38" s="330">
        <f t="shared" si="41"/>
        <v>27.073</v>
      </c>
      <c r="H38" s="330">
        <f t="shared" si="41"/>
        <v>29.713000000000001</v>
      </c>
      <c r="I38" s="330">
        <f t="shared" si="41"/>
        <v>0.76400000000000001</v>
      </c>
      <c r="J38" s="330">
        <f t="shared" si="41"/>
        <v>0.83823000000000003</v>
      </c>
      <c r="K38" s="330">
        <f t="shared" si="41"/>
        <v>0.88503690000000002</v>
      </c>
      <c r="L38" s="330">
        <f t="shared" si="41"/>
        <v>0.90543800699999999</v>
      </c>
      <c r="M38" s="330">
        <f t="shared" si="41"/>
        <v>1.002</v>
      </c>
      <c r="N38" s="330">
        <f t="shared" si="41"/>
        <v>1.1930000000000001</v>
      </c>
      <c r="O38" s="331">
        <f t="shared" si="41"/>
        <v>27</v>
      </c>
      <c r="P38" s="331">
        <f t="shared" si="41"/>
        <v>27</v>
      </c>
      <c r="Q38" s="331">
        <f t="shared" si="41"/>
        <v>27</v>
      </c>
      <c r="R38" s="331">
        <f t="shared" si="41"/>
        <v>27</v>
      </c>
      <c r="S38" s="331">
        <f t="shared" si="41"/>
        <v>27</v>
      </c>
      <c r="T38" s="262">
        <f t="shared" si="41"/>
        <v>27</v>
      </c>
      <c r="U38" s="262">
        <f t="shared" ref="U38" si="42">AA38/O38/12*1000000</f>
        <v>23651.234567901232</v>
      </c>
      <c r="V38" s="262">
        <f t="shared" ref="V38" si="43">AB38/P38/12*1000000</f>
        <v>25688.271604938276</v>
      </c>
      <c r="W38" s="262">
        <f t="shared" ref="W38" si="44">AC38/Q38/12*1000000</f>
        <v>27981.481481481478</v>
      </c>
      <c r="X38" s="262">
        <f t="shared" ref="X38" si="45">AD38/R38/12*1000000</f>
        <v>30817.9012345679</v>
      </c>
      <c r="Y38" s="262">
        <f t="shared" ref="Y38" si="46">AE38/S38/12*1000000</f>
        <v>32682.098765432092</v>
      </c>
      <c r="Z38" s="262">
        <f t="shared" ref="Z38" si="47">AF38/T38/12*1000000</f>
        <v>35453.703703703701</v>
      </c>
      <c r="AA38" s="333">
        <f t="shared" ref="AA38:AF38" si="48">AA40+AA44</f>
        <v>7.6630000000000003</v>
      </c>
      <c r="AB38" s="333">
        <f t="shared" si="48"/>
        <v>8.3230000000000004</v>
      </c>
      <c r="AC38" s="333">
        <f t="shared" si="48"/>
        <v>9.0659999999999989</v>
      </c>
      <c r="AD38" s="333">
        <f t="shared" si="48"/>
        <v>9.9849999999999994</v>
      </c>
      <c r="AE38" s="333">
        <f t="shared" si="48"/>
        <v>10.588999999999999</v>
      </c>
      <c r="AF38" s="333">
        <f t="shared" si="48"/>
        <v>11.487</v>
      </c>
      <c r="AG38" s="3"/>
      <c r="AH38" s="3"/>
    </row>
    <row r="39" spans="1:34" ht="15.75" customHeight="1" x14ac:dyDescent="0.2">
      <c r="A39" s="124" t="s">
        <v>31</v>
      </c>
      <c r="B39" s="124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2"/>
      <c r="P39" s="42"/>
      <c r="Q39" s="42"/>
      <c r="R39" s="42"/>
      <c r="S39" s="42"/>
      <c r="T39" s="41"/>
      <c r="U39" s="41"/>
      <c r="V39" s="41"/>
      <c r="W39" s="41"/>
      <c r="X39" s="41"/>
      <c r="Y39" s="41"/>
      <c r="Z39" s="41"/>
      <c r="AA39" s="118"/>
      <c r="AB39" s="118"/>
      <c r="AC39" s="118"/>
      <c r="AD39" s="118"/>
      <c r="AE39" s="118"/>
      <c r="AF39" s="118"/>
      <c r="AG39" s="3"/>
      <c r="AH39" s="3"/>
    </row>
    <row r="40" spans="1:34" ht="31.5" x14ac:dyDescent="0.2">
      <c r="A40" s="209" t="s">
        <v>229</v>
      </c>
      <c r="B40" s="124"/>
      <c r="C40" s="330">
        <f>C42</f>
        <v>15.738</v>
      </c>
      <c r="D40" s="262">
        <f t="shared" ref="D40:AF40" si="49">D42</f>
        <v>16.210139999999999</v>
      </c>
      <c r="E40" s="262">
        <f t="shared" si="49"/>
        <v>16.696444199999998</v>
      </c>
      <c r="F40" s="262">
        <f t="shared" si="49"/>
        <v>17.197337525999998</v>
      </c>
      <c r="G40" s="262">
        <f t="shared" si="49"/>
        <v>20.663</v>
      </c>
      <c r="H40" s="262">
        <f t="shared" si="49"/>
        <v>22.483000000000001</v>
      </c>
      <c r="I40" s="262">
        <f t="shared" si="49"/>
        <v>0.64100000000000001</v>
      </c>
      <c r="J40" s="262">
        <f t="shared" si="49"/>
        <v>0.66022999999999998</v>
      </c>
      <c r="K40" s="262">
        <f t="shared" si="49"/>
        <v>0.68003690000000006</v>
      </c>
      <c r="L40" s="262">
        <f t="shared" si="49"/>
        <v>0.70043800700000003</v>
      </c>
      <c r="M40" s="262">
        <f t="shared" si="49"/>
        <v>0.76900000000000002</v>
      </c>
      <c r="N40" s="262">
        <f t="shared" si="49"/>
        <v>0.89200000000000002</v>
      </c>
      <c r="O40" s="331">
        <f t="shared" si="49"/>
        <v>18</v>
      </c>
      <c r="P40" s="331">
        <f t="shared" si="49"/>
        <v>18</v>
      </c>
      <c r="Q40" s="331">
        <f t="shared" si="49"/>
        <v>18</v>
      </c>
      <c r="R40" s="331">
        <f t="shared" si="49"/>
        <v>18</v>
      </c>
      <c r="S40" s="331">
        <f t="shared" si="49"/>
        <v>18</v>
      </c>
      <c r="T40" s="262">
        <f t="shared" si="49"/>
        <v>18</v>
      </c>
      <c r="U40" s="262">
        <f t="shared" si="49"/>
        <v>21125</v>
      </c>
      <c r="V40" s="262">
        <f t="shared" si="49"/>
        <v>23254.629629629628</v>
      </c>
      <c r="W40" s="262">
        <f t="shared" si="49"/>
        <v>24379.629629629631</v>
      </c>
      <c r="X40" s="262">
        <f t="shared" si="49"/>
        <v>28171.296296296296</v>
      </c>
      <c r="Y40" s="262">
        <f t="shared" si="49"/>
        <v>30041.666666666664</v>
      </c>
      <c r="Z40" s="262">
        <f t="shared" si="49"/>
        <v>32504.629629629628</v>
      </c>
      <c r="AA40" s="333">
        <f t="shared" si="49"/>
        <v>4.5629999999999997</v>
      </c>
      <c r="AB40" s="333">
        <f t="shared" si="49"/>
        <v>5.0229999999999997</v>
      </c>
      <c r="AC40" s="333">
        <f t="shared" si="49"/>
        <v>5.266</v>
      </c>
      <c r="AD40" s="333">
        <f t="shared" si="49"/>
        <v>6.085</v>
      </c>
      <c r="AE40" s="333">
        <f t="shared" si="49"/>
        <v>6.4889999999999999</v>
      </c>
      <c r="AF40" s="333">
        <f t="shared" si="49"/>
        <v>7.0209999999999999</v>
      </c>
      <c r="AG40" s="3"/>
      <c r="AH40" s="3"/>
    </row>
    <row r="41" spans="1:34" ht="15.75" x14ac:dyDescent="0.2">
      <c r="A41" s="124" t="s">
        <v>223</v>
      </c>
      <c r="B41" s="124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2"/>
      <c r="P41" s="42"/>
      <c r="Q41" s="42"/>
      <c r="R41" s="42"/>
      <c r="S41" s="42"/>
      <c r="T41" s="41"/>
      <c r="U41" s="41"/>
      <c r="V41" s="41"/>
      <c r="W41" s="41"/>
      <c r="X41" s="41"/>
      <c r="Y41" s="41"/>
      <c r="Z41" s="41"/>
      <c r="AA41" s="118"/>
      <c r="AB41" s="118"/>
      <c r="AC41" s="118"/>
      <c r="AD41" s="118"/>
      <c r="AE41" s="118"/>
      <c r="AF41" s="118"/>
      <c r="AG41" s="3"/>
      <c r="AH41" s="3"/>
    </row>
    <row r="42" spans="1:34" ht="22.5" customHeight="1" x14ac:dyDescent="0.25">
      <c r="A42" s="263" t="s">
        <v>329</v>
      </c>
      <c r="B42" s="264" t="s">
        <v>307</v>
      </c>
      <c r="C42" s="258">
        <v>15.738</v>
      </c>
      <c r="D42" s="258">
        <f>C42*103%</f>
        <v>16.210139999999999</v>
      </c>
      <c r="E42" s="258">
        <f>D42*103%</f>
        <v>16.696444199999998</v>
      </c>
      <c r="F42" s="258">
        <f>E42*103%</f>
        <v>17.197337525999998</v>
      </c>
      <c r="G42" s="41">
        <v>20.663</v>
      </c>
      <c r="H42" s="41">
        <v>22.483000000000001</v>
      </c>
      <c r="I42" s="265">
        <v>0.64100000000000001</v>
      </c>
      <c r="J42" s="265">
        <f>I42*103%</f>
        <v>0.66022999999999998</v>
      </c>
      <c r="K42" s="265">
        <f>J42*103%</f>
        <v>0.68003690000000006</v>
      </c>
      <c r="L42" s="265">
        <f>K42*103%</f>
        <v>0.70043800700000003</v>
      </c>
      <c r="M42" s="41">
        <v>0.76900000000000002</v>
      </c>
      <c r="N42" s="41">
        <v>0.89200000000000002</v>
      </c>
      <c r="O42" s="266">
        <v>18</v>
      </c>
      <c r="P42" s="266">
        <v>18</v>
      </c>
      <c r="Q42" s="266">
        <v>18</v>
      </c>
      <c r="R42" s="266">
        <v>18</v>
      </c>
      <c r="S42" s="266">
        <v>18</v>
      </c>
      <c r="T42" s="41">
        <v>18</v>
      </c>
      <c r="U42" s="41">
        <f t="shared" ref="U42:Z42" si="50">AA42/O42/12*1000000</f>
        <v>21125</v>
      </c>
      <c r="V42" s="41">
        <f t="shared" si="50"/>
        <v>23254.629629629628</v>
      </c>
      <c r="W42" s="41">
        <f t="shared" si="50"/>
        <v>24379.629629629631</v>
      </c>
      <c r="X42" s="41">
        <f t="shared" si="50"/>
        <v>28171.296296296296</v>
      </c>
      <c r="Y42" s="41">
        <f t="shared" si="50"/>
        <v>30041.666666666664</v>
      </c>
      <c r="Z42" s="41">
        <f t="shared" si="50"/>
        <v>32504.629629629628</v>
      </c>
      <c r="AA42" s="267">
        <v>4.5629999999999997</v>
      </c>
      <c r="AB42" s="267">
        <v>5.0229999999999997</v>
      </c>
      <c r="AC42" s="267">
        <v>5.266</v>
      </c>
      <c r="AD42" s="267">
        <v>6.085</v>
      </c>
      <c r="AE42" s="118">
        <v>6.4889999999999999</v>
      </c>
      <c r="AF42" s="118">
        <v>7.0209999999999999</v>
      </c>
      <c r="AG42" s="3"/>
      <c r="AH42" s="3"/>
    </row>
    <row r="43" spans="1:34" ht="15.75" customHeight="1" x14ac:dyDescent="0.2">
      <c r="A43" s="159"/>
      <c r="B43" s="124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2"/>
      <c r="P43" s="42"/>
      <c r="Q43" s="42"/>
      <c r="R43" s="42"/>
      <c r="S43" s="42"/>
      <c r="T43" s="41"/>
      <c r="U43" s="41"/>
      <c r="V43" s="41"/>
      <c r="W43" s="41"/>
      <c r="X43" s="41"/>
      <c r="Y43" s="41"/>
      <c r="Z43" s="41"/>
      <c r="AA43" s="118"/>
      <c r="AB43" s="118"/>
      <c r="AC43" s="118"/>
      <c r="AD43" s="118"/>
      <c r="AE43" s="118"/>
      <c r="AF43" s="118"/>
      <c r="AG43" s="3"/>
      <c r="AH43" s="3"/>
    </row>
    <row r="44" spans="1:34" ht="63" x14ac:dyDescent="0.2">
      <c r="A44" s="209" t="s">
        <v>230</v>
      </c>
      <c r="B44" s="124"/>
      <c r="C44" s="262">
        <f>C46</f>
        <v>5.67</v>
      </c>
      <c r="D44" s="262">
        <f t="shared" ref="D44:AF44" si="51">D46</f>
        <v>5.75</v>
      </c>
      <c r="E44" s="262">
        <f t="shared" si="51"/>
        <v>5.85</v>
      </c>
      <c r="F44" s="262">
        <f t="shared" si="51"/>
        <v>5.85</v>
      </c>
      <c r="G44" s="262">
        <f t="shared" si="51"/>
        <v>6.41</v>
      </c>
      <c r="H44" s="262">
        <f t="shared" si="51"/>
        <v>7.23</v>
      </c>
      <c r="I44" s="262">
        <f t="shared" si="51"/>
        <v>0.123</v>
      </c>
      <c r="J44" s="262">
        <f t="shared" si="51"/>
        <v>0.17799999999999999</v>
      </c>
      <c r="K44" s="262">
        <f t="shared" si="51"/>
        <v>0.20499999999999999</v>
      </c>
      <c r="L44" s="262">
        <f t="shared" si="51"/>
        <v>0.20499999999999999</v>
      </c>
      <c r="M44" s="262">
        <f t="shared" si="51"/>
        <v>0.23300000000000001</v>
      </c>
      <c r="N44" s="262">
        <f t="shared" si="51"/>
        <v>0.30099999999999999</v>
      </c>
      <c r="O44" s="331">
        <f t="shared" si="51"/>
        <v>9</v>
      </c>
      <c r="P44" s="331">
        <f t="shared" si="51"/>
        <v>9</v>
      </c>
      <c r="Q44" s="331">
        <f t="shared" si="51"/>
        <v>9</v>
      </c>
      <c r="R44" s="331">
        <f t="shared" si="51"/>
        <v>9</v>
      </c>
      <c r="S44" s="331">
        <f t="shared" si="51"/>
        <v>9</v>
      </c>
      <c r="T44" s="262">
        <f t="shared" si="51"/>
        <v>9</v>
      </c>
      <c r="U44" s="262">
        <f t="shared" si="51"/>
        <v>28703.703703703704</v>
      </c>
      <c r="V44" s="262">
        <f t="shared" si="51"/>
        <v>30555.555555555555</v>
      </c>
      <c r="W44" s="262">
        <f t="shared" si="51"/>
        <v>35185.18518518519</v>
      </c>
      <c r="X44" s="262">
        <f t="shared" si="51"/>
        <v>36111.111111111117</v>
      </c>
      <c r="Y44" s="262">
        <f t="shared" si="51"/>
        <v>37962.962962962956</v>
      </c>
      <c r="Z44" s="262">
        <f t="shared" si="51"/>
        <v>41351.851851851854</v>
      </c>
      <c r="AA44" s="333">
        <f t="shared" si="51"/>
        <v>3.1</v>
      </c>
      <c r="AB44" s="333">
        <f t="shared" si="51"/>
        <v>3.3</v>
      </c>
      <c r="AC44" s="333">
        <f t="shared" si="51"/>
        <v>3.8</v>
      </c>
      <c r="AD44" s="333">
        <f t="shared" si="51"/>
        <v>3.9</v>
      </c>
      <c r="AE44" s="333">
        <f t="shared" si="51"/>
        <v>4.0999999999999996</v>
      </c>
      <c r="AF44" s="333">
        <f t="shared" si="51"/>
        <v>4.4660000000000002</v>
      </c>
      <c r="AG44" s="3"/>
      <c r="AH44" s="3"/>
    </row>
    <row r="45" spans="1:34" ht="15.75" x14ac:dyDescent="0.2">
      <c r="A45" s="124" t="s">
        <v>223</v>
      </c>
      <c r="B45" s="124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2"/>
      <c r="P45" s="42"/>
      <c r="Q45" s="42"/>
      <c r="R45" s="42"/>
      <c r="S45" s="42"/>
      <c r="T45" s="41"/>
      <c r="U45" s="41"/>
      <c r="V45" s="41"/>
      <c r="W45" s="41"/>
      <c r="X45" s="41"/>
      <c r="Y45" s="41"/>
      <c r="Z45" s="41"/>
      <c r="AA45" s="118"/>
      <c r="AB45" s="118"/>
      <c r="AC45" s="118"/>
      <c r="AD45" s="118"/>
      <c r="AE45" s="118"/>
      <c r="AF45" s="118"/>
      <c r="AG45" s="3"/>
      <c r="AH45" s="3"/>
    </row>
    <row r="46" spans="1:34" ht="15.75" x14ac:dyDescent="0.2">
      <c r="A46" s="268" t="s">
        <v>330</v>
      </c>
      <c r="B46" s="264" t="s">
        <v>307</v>
      </c>
      <c r="C46" s="41">
        <v>5.67</v>
      </c>
      <c r="D46" s="41">
        <v>5.75</v>
      </c>
      <c r="E46" s="41">
        <v>5.85</v>
      </c>
      <c r="F46" s="41">
        <v>5.85</v>
      </c>
      <c r="G46" s="41">
        <v>6.41</v>
      </c>
      <c r="H46" s="41">
        <v>7.23</v>
      </c>
      <c r="I46" s="41">
        <v>0.123</v>
      </c>
      <c r="J46" s="41">
        <v>0.17799999999999999</v>
      </c>
      <c r="K46" s="41">
        <v>0.20499999999999999</v>
      </c>
      <c r="L46" s="41">
        <v>0.20499999999999999</v>
      </c>
      <c r="M46" s="41">
        <v>0.23300000000000001</v>
      </c>
      <c r="N46" s="41">
        <v>0.30099999999999999</v>
      </c>
      <c r="O46" s="42">
        <v>9</v>
      </c>
      <c r="P46" s="42">
        <v>9</v>
      </c>
      <c r="Q46" s="42">
        <v>9</v>
      </c>
      <c r="R46" s="41">
        <v>9</v>
      </c>
      <c r="S46" s="41">
        <v>9</v>
      </c>
      <c r="T46" s="41">
        <v>9</v>
      </c>
      <c r="U46" s="41">
        <f t="shared" ref="U46:Z46" si="52">AA46/O46/12*1000000</f>
        <v>28703.703703703704</v>
      </c>
      <c r="V46" s="41">
        <f t="shared" si="52"/>
        <v>30555.555555555555</v>
      </c>
      <c r="W46" s="41">
        <f t="shared" si="52"/>
        <v>35185.18518518519</v>
      </c>
      <c r="X46" s="41">
        <f t="shared" si="52"/>
        <v>36111.111111111117</v>
      </c>
      <c r="Y46" s="41">
        <f t="shared" si="52"/>
        <v>37962.962962962956</v>
      </c>
      <c r="Z46" s="41">
        <f t="shared" si="52"/>
        <v>41351.851851851854</v>
      </c>
      <c r="AA46" s="118">
        <v>3.1</v>
      </c>
      <c r="AB46" s="118">
        <v>3.3</v>
      </c>
      <c r="AC46" s="118">
        <v>3.8</v>
      </c>
      <c r="AD46" s="118">
        <v>3.9</v>
      </c>
      <c r="AE46" s="118">
        <v>4.0999999999999996</v>
      </c>
      <c r="AF46" s="118">
        <v>4.4660000000000002</v>
      </c>
      <c r="AG46" s="3"/>
      <c r="AH46" s="3"/>
    </row>
    <row r="47" spans="1:34" ht="15.75" customHeight="1" x14ac:dyDescent="0.2">
      <c r="A47" s="127"/>
      <c r="B47" s="203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2"/>
      <c r="P47" s="42"/>
      <c r="Q47" s="42"/>
      <c r="R47" s="42"/>
      <c r="S47" s="42"/>
      <c r="T47" s="41"/>
      <c r="U47" s="41"/>
      <c r="V47" s="41"/>
      <c r="W47" s="41"/>
      <c r="X47" s="41"/>
      <c r="Y47" s="41"/>
      <c r="Z47" s="41"/>
      <c r="AA47" s="118"/>
      <c r="AB47" s="118"/>
      <c r="AC47" s="118"/>
      <c r="AD47" s="118"/>
      <c r="AE47" s="118"/>
      <c r="AF47" s="118"/>
      <c r="AG47" s="3"/>
      <c r="AH47" s="3"/>
    </row>
    <row r="48" spans="1:34" ht="93.75" x14ac:dyDescent="0.2">
      <c r="A48" s="213" t="s">
        <v>207</v>
      </c>
      <c r="B48" s="214"/>
      <c r="C48" s="328">
        <f>C50+C51</f>
        <v>99.57</v>
      </c>
      <c r="D48" s="328">
        <f t="shared" ref="D48:T48" si="53">D50+D51</f>
        <v>101.578</v>
      </c>
      <c r="E48" s="328">
        <f t="shared" si="53"/>
        <v>104.18600000000001</v>
      </c>
      <c r="F48" s="328">
        <f t="shared" si="53"/>
        <v>106.33199999999999</v>
      </c>
      <c r="G48" s="328">
        <f t="shared" si="53"/>
        <v>109.336</v>
      </c>
      <c r="H48" s="328">
        <f t="shared" si="53"/>
        <v>111.883</v>
      </c>
      <c r="I48" s="328">
        <f t="shared" si="53"/>
        <v>-14.024000000000001</v>
      </c>
      <c r="J48" s="328">
        <f t="shared" si="53"/>
        <v>-8</v>
      </c>
      <c r="K48" s="328">
        <f t="shared" si="53"/>
        <v>-0.91999999999999993</v>
      </c>
      <c r="L48" s="328">
        <f t="shared" si="53"/>
        <v>0.2</v>
      </c>
      <c r="M48" s="328">
        <f t="shared" si="53"/>
        <v>0.221</v>
      </c>
      <c r="N48" s="328">
        <f t="shared" si="53"/>
        <v>0.38900000000000001</v>
      </c>
      <c r="O48" s="328">
        <f t="shared" si="53"/>
        <v>88</v>
      </c>
      <c r="P48" s="328">
        <f t="shared" si="53"/>
        <v>89</v>
      </c>
      <c r="Q48" s="328">
        <f t="shared" si="53"/>
        <v>89</v>
      </c>
      <c r="R48" s="328">
        <f t="shared" si="53"/>
        <v>89</v>
      </c>
      <c r="S48" s="328">
        <f t="shared" si="53"/>
        <v>89</v>
      </c>
      <c r="T48" s="328">
        <f t="shared" si="53"/>
        <v>89</v>
      </c>
      <c r="U48" s="329">
        <f t="shared" ref="U48" si="54">AA48/O48/12*1000000</f>
        <v>29109.848484848488</v>
      </c>
      <c r="V48" s="329">
        <f t="shared" ref="V48" si="55">AB48/P48/12*1000000</f>
        <v>30524.344569288391</v>
      </c>
      <c r="W48" s="329">
        <f t="shared" ref="W48" si="56">AC48/Q48/12*1000000</f>
        <v>32116.104868913859</v>
      </c>
      <c r="X48" s="329">
        <f t="shared" ref="X48" si="57">AD48/R48/12*1000000</f>
        <v>33052.434456928844</v>
      </c>
      <c r="Y48" s="329">
        <f t="shared" ref="Y48" si="58">AE48/S48/12*1000000</f>
        <v>34269.662921348317</v>
      </c>
      <c r="Z48" s="329">
        <f t="shared" ref="Z48" si="59">AF48/T48/12*1000000</f>
        <v>35761.235955056181</v>
      </c>
      <c r="AA48" s="328">
        <f t="shared" ref="AA48:AF48" si="60">AA50+AA51</f>
        <v>30.740000000000002</v>
      </c>
      <c r="AB48" s="328">
        <f t="shared" si="60"/>
        <v>32.6</v>
      </c>
      <c r="AC48" s="328">
        <f t="shared" si="60"/>
        <v>34.299999999999997</v>
      </c>
      <c r="AD48" s="328">
        <f t="shared" si="60"/>
        <v>35.299999999999997</v>
      </c>
      <c r="AE48" s="328">
        <f t="shared" si="60"/>
        <v>36.6</v>
      </c>
      <c r="AF48" s="328">
        <f t="shared" si="60"/>
        <v>38.192999999999998</v>
      </c>
    </row>
    <row r="49" spans="1:32" x14ac:dyDescent="0.2">
      <c r="A49" s="189" t="s">
        <v>223</v>
      </c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</row>
    <row r="50" spans="1:32" ht="15.75" x14ac:dyDescent="0.2">
      <c r="A50" s="189" t="s">
        <v>331</v>
      </c>
      <c r="B50" s="214" t="s">
        <v>320</v>
      </c>
      <c r="C50" s="266">
        <v>59.491999999999997</v>
      </c>
      <c r="D50" s="266">
        <v>61.5</v>
      </c>
      <c r="E50" s="266">
        <v>63.2</v>
      </c>
      <c r="F50" s="266">
        <v>65.099999999999994</v>
      </c>
      <c r="G50" s="266">
        <v>67</v>
      </c>
      <c r="H50" s="214">
        <v>68.320999999999998</v>
      </c>
      <c r="I50" s="266">
        <f>5.591*(-1)</f>
        <v>-5.5910000000000002</v>
      </c>
      <c r="J50" s="266">
        <f>3.5*(-1)</f>
        <v>-3.5</v>
      </c>
      <c r="K50" s="266">
        <f>0.1*(-1)</f>
        <v>-0.1</v>
      </c>
      <c r="L50" s="266">
        <v>0.1</v>
      </c>
      <c r="M50" s="266">
        <v>0.1</v>
      </c>
      <c r="N50" s="214">
        <v>0.2</v>
      </c>
      <c r="O50" s="214">
        <v>29</v>
      </c>
      <c r="P50" s="214">
        <v>30</v>
      </c>
      <c r="Q50" s="214">
        <v>30</v>
      </c>
      <c r="R50" s="214">
        <v>30</v>
      </c>
      <c r="S50" s="214">
        <v>30</v>
      </c>
      <c r="T50" s="214">
        <v>30</v>
      </c>
      <c r="U50" s="270">
        <f t="shared" ref="U50:Y51" si="61">AA50/O50/12*1000000</f>
        <v>35649.425287356324</v>
      </c>
      <c r="V50" s="270">
        <f t="shared" si="61"/>
        <v>37500</v>
      </c>
      <c r="W50" s="270">
        <f t="shared" si="61"/>
        <v>38888.888888888891</v>
      </c>
      <c r="X50" s="270">
        <f t="shared" si="61"/>
        <v>40277.777777777781</v>
      </c>
      <c r="Y50" s="270">
        <f>AE50/S50/12*1000000</f>
        <v>41666.666666666664</v>
      </c>
      <c r="Z50" s="270">
        <f t="shared" ref="Z50:Z51" si="62">AF50/T50/12*1000000</f>
        <v>43644.444444444438</v>
      </c>
      <c r="AA50" s="214">
        <v>12.406000000000001</v>
      </c>
      <c r="AB50" s="214">
        <v>13.5</v>
      </c>
      <c r="AC50" s="214">
        <v>14</v>
      </c>
      <c r="AD50" s="214">
        <v>14.5</v>
      </c>
      <c r="AE50" s="214">
        <v>15</v>
      </c>
      <c r="AF50" s="214">
        <v>15.712</v>
      </c>
    </row>
    <row r="51" spans="1:32" ht="15.75" x14ac:dyDescent="0.2">
      <c r="A51" s="189" t="s">
        <v>332</v>
      </c>
      <c r="B51" s="214" t="s">
        <v>307</v>
      </c>
      <c r="C51" s="266">
        <v>40.078000000000003</v>
      </c>
      <c r="D51" s="266">
        <v>40.078000000000003</v>
      </c>
      <c r="E51" s="266">
        <v>40.985999999999997</v>
      </c>
      <c r="F51" s="266">
        <v>41.231999999999999</v>
      </c>
      <c r="G51" s="266">
        <v>42.335999999999999</v>
      </c>
      <c r="H51" s="214">
        <v>43.561999999999998</v>
      </c>
      <c r="I51" s="266">
        <f>8.433*(-1)</f>
        <v>-8.4329999999999998</v>
      </c>
      <c r="J51" s="266">
        <f>4.5*(-1)</f>
        <v>-4.5</v>
      </c>
      <c r="K51" s="266">
        <f>0.82*(-1)</f>
        <v>-0.82</v>
      </c>
      <c r="L51" s="266">
        <v>0.1</v>
      </c>
      <c r="M51" s="266">
        <v>0.121</v>
      </c>
      <c r="N51" s="214">
        <v>0.189</v>
      </c>
      <c r="O51" s="214">
        <v>59</v>
      </c>
      <c r="P51" s="214">
        <v>59</v>
      </c>
      <c r="Q51" s="214">
        <v>59</v>
      </c>
      <c r="R51" s="214">
        <v>59</v>
      </c>
      <c r="S51" s="214">
        <v>59</v>
      </c>
      <c r="T51" s="214">
        <v>59</v>
      </c>
      <c r="U51" s="270">
        <f t="shared" si="61"/>
        <v>25895.4802259887</v>
      </c>
      <c r="V51" s="270">
        <f t="shared" si="61"/>
        <v>26977.401129943501</v>
      </c>
      <c r="W51" s="270">
        <f t="shared" si="61"/>
        <v>28672.316384180791</v>
      </c>
      <c r="X51" s="270">
        <f t="shared" si="61"/>
        <v>29378.531073446327</v>
      </c>
      <c r="Y51" s="270">
        <f t="shared" si="61"/>
        <v>30508.474576271186</v>
      </c>
      <c r="Z51" s="270">
        <f t="shared" si="62"/>
        <v>31752.824858757063</v>
      </c>
      <c r="AA51" s="214">
        <v>18.334</v>
      </c>
      <c r="AB51" s="214">
        <v>19.100000000000001</v>
      </c>
      <c r="AC51" s="214">
        <v>20.3</v>
      </c>
      <c r="AD51" s="214">
        <v>20.8</v>
      </c>
      <c r="AE51" s="214">
        <v>21.6</v>
      </c>
      <c r="AF51" s="214">
        <v>22.481000000000002</v>
      </c>
    </row>
    <row r="52" spans="1:32" ht="144" customHeight="1" x14ac:dyDescent="0.2">
      <c r="A52" s="213" t="s">
        <v>209</v>
      </c>
      <c r="B52" s="214"/>
      <c r="C52" s="328">
        <f>C54</f>
        <v>21.116</v>
      </c>
      <c r="D52" s="328">
        <f t="shared" ref="D52:AF52" si="63">D54</f>
        <v>24.786999999999999</v>
      </c>
      <c r="E52" s="328">
        <f t="shared" si="63"/>
        <v>36.026000000000003</v>
      </c>
      <c r="F52" s="328">
        <f t="shared" si="63"/>
        <v>39.04</v>
      </c>
      <c r="G52" s="328">
        <f t="shared" si="63"/>
        <v>40.991999999999997</v>
      </c>
      <c r="H52" s="328">
        <f t="shared" si="63"/>
        <v>41.637999999999998</v>
      </c>
      <c r="I52" s="328">
        <f t="shared" si="63"/>
        <v>0.57799999999999996</v>
      </c>
      <c r="J52" s="328">
        <f t="shared" si="63"/>
        <v>0.6</v>
      </c>
      <c r="K52" s="328">
        <f t="shared" si="63"/>
        <v>0.6</v>
      </c>
      <c r="L52" s="328">
        <f t="shared" si="63"/>
        <v>0.6</v>
      </c>
      <c r="M52" s="328">
        <f t="shared" si="63"/>
        <v>0.7</v>
      </c>
      <c r="N52" s="328">
        <f t="shared" si="63"/>
        <v>0.9</v>
      </c>
      <c r="O52" s="328">
        <f t="shared" si="63"/>
        <v>17</v>
      </c>
      <c r="P52" s="328">
        <f t="shared" si="63"/>
        <v>17</v>
      </c>
      <c r="Q52" s="328">
        <f t="shared" si="63"/>
        <v>17</v>
      </c>
      <c r="R52" s="328">
        <f t="shared" si="63"/>
        <v>17</v>
      </c>
      <c r="S52" s="328">
        <f t="shared" si="63"/>
        <v>17</v>
      </c>
      <c r="T52" s="328">
        <f t="shared" si="63"/>
        <v>17</v>
      </c>
      <c r="U52" s="328">
        <f t="shared" si="63"/>
        <v>38230.392156862748</v>
      </c>
      <c r="V52" s="328">
        <f t="shared" si="63"/>
        <v>42088.23529411765</v>
      </c>
      <c r="W52" s="328">
        <f t="shared" si="63"/>
        <v>44191.176470588231</v>
      </c>
      <c r="X52" s="328">
        <f t="shared" si="63"/>
        <v>46401.960784313727</v>
      </c>
      <c r="Y52" s="328">
        <f t="shared" si="63"/>
        <v>48720.588235294119</v>
      </c>
      <c r="Z52" s="328">
        <f t="shared" si="63"/>
        <v>50828.431372549021</v>
      </c>
      <c r="AA52" s="328">
        <f t="shared" si="63"/>
        <v>7.7990000000000004</v>
      </c>
      <c r="AB52" s="328">
        <f t="shared" si="63"/>
        <v>8.5860000000000003</v>
      </c>
      <c r="AC52" s="328">
        <f t="shared" si="63"/>
        <v>9.0150000000000006</v>
      </c>
      <c r="AD52" s="328">
        <f t="shared" si="63"/>
        <v>9.4659999999999993</v>
      </c>
      <c r="AE52" s="328">
        <f t="shared" si="63"/>
        <v>9.9390000000000001</v>
      </c>
      <c r="AF52" s="328">
        <f t="shared" si="63"/>
        <v>10.369</v>
      </c>
    </row>
    <row r="53" spans="1:32" x14ac:dyDescent="0.2">
      <c r="A53" s="189" t="s">
        <v>223</v>
      </c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</row>
    <row r="54" spans="1:32" x14ac:dyDescent="0.2">
      <c r="A54" s="271" t="s">
        <v>333</v>
      </c>
      <c r="B54" s="214" t="s">
        <v>307</v>
      </c>
      <c r="C54" s="214">
        <v>21.116</v>
      </c>
      <c r="D54" s="214">
        <v>24.786999999999999</v>
      </c>
      <c r="E54" s="214">
        <v>36.026000000000003</v>
      </c>
      <c r="F54" s="214">
        <v>39.04</v>
      </c>
      <c r="G54" s="214">
        <v>40.991999999999997</v>
      </c>
      <c r="H54" s="214">
        <v>41.637999999999998</v>
      </c>
      <c r="I54" s="214">
        <v>0.57799999999999996</v>
      </c>
      <c r="J54" s="214">
        <v>0.6</v>
      </c>
      <c r="K54" s="214">
        <v>0.6</v>
      </c>
      <c r="L54" s="214">
        <v>0.6</v>
      </c>
      <c r="M54" s="214">
        <v>0.7</v>
      </c>
      <c r="N54" s="214">
        <v>0.9</v>
      </c>
      <c r="O54" s="214">
        <v>17</v>
      </c>
      <c r="P54" s="214">
        <v>17</v>
      </c>
      <c r="Q54" s="214">
        <v>17</v>
      </c>
      <c r="R54" s="214">
        <v>17</v>
      </c>
      <c r="S54" s="214">
        <v>17</v>
      </c>
      <c r="T54" s="214">
        <v>17</v>
      </c>
      <c r="U54" s="270">
        <f t="shared" ref="U54:Z54" si="64">AA54/O54/12*1000000</f>
        <v>38230.392156862748</v>
      </c>
      <c r="V54" s="270">
        <f t="shared" si="64"/>
        <v>42088.23529411765</v>
      </c>
      <c r="W54" s="270">
        <f t="shared" si="64"/>
        <v>44191.176470588231</v>
      </c>
      <c r="X54" s="270">
        <f t="shared" si="64"/>
        <v>46401.960784313727</v>
      </c>
      <c r="Y54" s="270">
        <f t="shared" si="64"/>
        <v>48720.588235294119</v>
      </c>
      <c r="Z54" s="270">
        <f t="shared" si="64"/>
        <v>50828.431372549021</v>
      </c>
      <c r="AA54" s="214">
        <v>7.7990000000000004</v>
      </c>
      <c r="AB54" s="214">
        <v>8.5860000000000003</v>
      </c>
      <c r="AC54" s="214">
        <v>9.0150000000000006</v>
      </c>
      <c r="AD54" s="214">
        <v>9.4659999999999993</v>
      </c>
      <c r="AE54" s="214">
        <v>9.9390000000000001</v>
      </c>
      <c r="AF54" s="214">
        <v>10.369</v>
      </c>
    </row>
    <row r="55" spans="1:32" x14ac:dyDescent="0.2">
      <c r="A55" s="189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</row>
    <row r="56" spans="1:32" ht="93.75" x14ac:dyDescent="0.2">
      <c r="A56" s="213" t="s">
        <v>231</v>
      </c>
      <c r="B56" s="214"/>
      <c r="C56" s="338">
        <f>C58+C59+C60</f>
        <v>160.32460789999999</v>
      </c>
      <c r="D56" s="338">
        <f t="shared" ref="D56:T56" si="65">D58+D59+D60</f>
        <v>164.060939053</v>
      </c>
      <c r="E56" s="338">
        <f t="shared" si="65"/>
        <v>168.98276722458999</v>
      </c>
      <c r="F56" s="338">
        <f t="shared" si="65"/>
        <v>174.0522502413277</v>
      </c>
      <c r="G56" s="338">
        <f t="shared" si="65"/>
        <v>177.965</v>
      </c>
      <c r="H56" s="338">
        <f t="shared" si="65"/>
        <v>184.67700000000002</v>
      </c>
      <c r="I56" s="338">
        <f t="shared" si="65"/>
        <v>1.7589999999999999</v>
      </c>
      <c r="J56" s="338">
        <f t="shared" si="65"/>
        <v>1.8117700000000001</v>
      </c>
      <c r="K56" s="338">
        <f t="shared" si="65"/>
        <v>1.8661231</v>
      </c>
      <c r="L56" s="338">
        <f t="shared" si="65"/>
        <v>1.9221067930000002</v>
      </c>
      <c r="M56" s="338">
        <f t="shared" si="65"/>
        <v>1.9797699967900002</v>
      </c>
      <c r="N56" s="338">
        <f t="shared" si="65"/>
        <v>2.0391630966937004</v>
      </c>
      <c r="O56" s="328">
        <f t="shared" si="65"/>
        <v>100</v>
      </c>
      <c r="P56" s="328">
        <f t="shared" si="65"/>
        <v>100</v>
      </c>
      <c r="Q56" s="328">
        <f t="shared" si="65"/>
        <v>100</v>
      </c>
      <c r="R56" s="328">
        <f t="shared" si="65"/>
        <v>100</v>
      </c>
      <c r="S56" s="328">
        <f t="shared" si="65"/>
        <v>100</v>
      </c>
      <c r="T56" s="328">
        <f t="shared" si="65"/>
        <v>100</v>
      </c>
      <c r="U56" s="329">
        <f t="shared" ref="U56" si="66">AA56/O56/12*1000000</f>
        <v>20308.333333333332</v>
      </c>
      <c r="V56" s="329">
        <f t="shared" ref="V56" si="67">AB56/P56/12*1000000</f>
        <v>20917.583333333332</v>
      </c>
      <c r="W56" s="329">
        <f t="shared" ref="W56" si="68">AC56/Q56/12*1000000</f>
        <v>21545.110833333336</v>
      </c>
      <c r="X56" s="329">
        <f t="shared" ref="X56" si="69">AD56/R56/12*1000000</f>
        <v>22191.464158333336</v>
      </c>
      <c r="Y56" s="329">
        <f t="shared" ref="Y56" si="70">AE56/S56/12*1000000</f>
        <v>23213.333333333336</v>
      </c>
      <c r="Z56" s="329">
        <f t="shared" ref="Z56" si="71">AF56/T56/12*1000000</f>
        <v>24200.016666666666</v>
      </c>
      <c r="AA56" s="338">
        <f t="shared" ref="AA56:AF56" si="72">AA58+AA59+AA60</f>
        <v>24.369999999999997</v>
      </c>
      <c r="AB56" s="338">
        <f t="shared" si="72"/>
        <v>25.101099999999999</v>
      </c>
      <c r="AC56" s="338">
        <f t="shared" si="72"/>
        <v>25.854133000000001</v>
      </c>
      <c r="AD56" s="338">
        <f t="shared" si="72"/>
        <v>26.629756990000001</v>
      </c>
      <c r="AE56" s="338">
        <f t="shared" si="72"/>
        <v>27.856000000000002</v>
      </c>
      <c r="AF56" s="338">
        <f t="shared" si="72"/>
        <v>29.040019999999998</v>
      </c>
    </row>
    <row r="57" spans="1:32" x14ac:dyDescent="0.2">
      <c r="A57" s="214" t="s">
        <v>223</v>
      </c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</row>
    <row r="58" spans="1:32" x14ac:dyDescent="0.2">
      <c r="A58" s="189" t="s">
        <v>334</v>
      </c>
      <c r="B58" s="214" t="s">
        <v>307</v>
      </c>
      <c r="C58" s="267">
        <v>87.546528899999998</v>
      </c>
      <c r="D58" s="267">
        <v>90.172924766999998</v>
      </c>
      <c r="E58" s="267">
        <v>92.878112510009998</v>
      </c>
      <c r="F58" s="267">
        <v>95.664455885310304</v>
      </c>
      <c r="G58" s="267">
        <v>97.481999999999999</v>
      </c>
      <c r="H58" s="267">
        <v>100.02200000000001</v>
      </c>
      <c r="I58" s="267">
        <v>0.25800000000000001</v>
      </c>
      <c r="J58" s="267">
        <f t="shared" ref="J58:J60" si="73">I58*103%</f>
        <v>0.26574000000000003</v>
      </c>
      <c r="K58" s="267">
        <f t="shared" ref="K58:K60" si="74">J58*103%</f>
        <v>0.27371220000000002</v>
      </c>
      <c r="L58" s="267">
        <f t="shared" ref="L58:L60" si="75">K58*103%</f>
        <v>0.28192356600000001</v>
      </c>
      <c r="M58" s="267">
        <f>L58*103%</f>
        <v>0.29038127298000005</v>
      </c>
      <c r="N58" s="267">
        <f t="shared" ref="N58:N60" si="76">M58*103%</f>
        <v>0.29909271116940006</v>
      </c>
      <c r="O58" s="214">
        <v>53</v>
      </c>
      <c r="P58" s="214">
        <v>53</v>
      </c>
      <c r="Q58" s="214">
        <v>53</v>
      </c>
      <c r="R58" s="214">
        <v>53</v>
      </c>
      <c r="S58" s="214">
        <v>53</v>
      </c>
      <c r="T58" s="214">
        <v>53</v>
      </c>
      <c r="U58" s="270">
        <f t="shared" ref="U58:U60" si="77">AA58/O58/12*1000000</f>
        <v>17856.918238993709</v>
      </c>
      <c r="V58" s="270">
        <f t="shared" ref="V58:V60" si="78">AB58/P58/12*1000000</f>
        <v>18392.625786163524</v>
      </c>
      <c r="W58" s="270">
        <f t="shared" ref="W58:W60" si="79">AC58/Q58/12*1000000</f>
        <v>18944.404559748429</v>
      </c>
      <c r="X58" s="270">
        <f t="shared" ref="X58:X60" si="80">AD58/R58/12*1000000</f>
        <v>19512.73669654088</v>
      </c>
      <c r="Y58" s="270">
        <f t="shared" ref="Y58:Y60" si="81">AE58/S58/12*1000000</f>
        <v>20003.144654088053</v>
      </c>
      <c r="Z58" s="270">
        <f t="shared" ref="Z58:Z60" si="82">AF58/T58/12*1000000</f>
        <v>21150.943396226416</v>
      </c>
      <c r="AA58" s="267">
        <v>11.356999999999999</v>
      </c>
      <c r="AB58" s="267">
        <f t="shared" ref="AB58:AB60" si="83">AA58*103%</f>
        <v>11.697709999999999</v>
      </c>
      <c r="AC58" s="267">
        <f t="shared" ref="AC58:AC60" si="84">AB58*103%</f>
        <v>12.0486413</v>
      </c>
      <c r="AD58" s="267">
        <f t="shared" ref="AD58:AD60" si="85">AC58*103%</f>
        <v>12.410100539</v>
      </c>
      <c r="AE58" s="267">
        <v>12.722</v>
      </c>
      <c r="AF58" s="267">
        <v>13.452</v>
      </c>
    </row>
    <row r="59" spans="1:32" x14ac:dyDescent="0.2">
      <c r="A59" s="189" t="s">
        <v>335</v>
      </c>
      <c r="B59" s="214" t="s">
        <v>307</v>
      </c>
      <c r="C59" s="267">
        <v>8.8160790000000002</v>
      </c>
      <c r="D59" s="267">
        <v>9.0805613699999999</v>
      </c>
      <c r="E59" s="267">
        <v>9.3529782110999999</v>
      </c>
      <c r="F59" s="267">
        <v>9.6335675574330004</v>
      </c>
      <c r="G59" s="267">
        <v>10.128</v>
      </c>
      <c r="H59" s="267">
        <v>11.202999999999999</v>
      </c>
      <c r="I59" s="267">
        <v>0.432</v>
      </c>
      <c r="J59" s="267">
        <f t="shared" si="73"/>
        <v>0.44496000000000002</v>
      </c>
      <c r="K59" s="267">
        <f t="shared" si="74"/>
        <v>0.45830880000000002</v>
      </c>
      <c r="L59" s="267">
        <f t="shared" si="75"/>
        <v>0.47205806400000005</v>
      </c>
      <c r="M59" s="267">
        <f t="shared" ref="M59:M60" si="86">L59*103%</f>
        <v>0.48621980592000008</v>
      </c>
      <c r="N59" s="267">
        <f t="shared" si="76"/>
        <v>0.50080640009760014</v>
      </c>
      <c r="O59" s="214">
        <v>12</v>
      </c>
      <c r="P59" s="214">
        <v>12</v>
      </c>
      <c r="Q59" s="214">
        <v>12</v>
      </c>
      <c r="R59" s="214">
        <v>12</v>
      </c>
      <c r="S59" s="214">
        <v>12</v>
      </c>
      <c r="T59" s="214">
        <v>12</v>
      </c>
      <c r="U59" s="270">
        <f t="shared" si="77"/>
        <v>18097.222222222219</v>
      </c>
      <c r="V59" s="270">
        <f t="shared" si="78"/>
        <v>18640.138888888891</v>
      </c>
      <c r="W59" s="270">
        <f t="shared" si="79"/>
        <v>19199.343055555557</v>
      </c>
      <c r="X59" s="270">
        <f t="shared" si="80"/>
        <v>19775.323347222224</v>
      </c>
      <c r="Y59" s="270">
        <f t="shared" si="81"/>
        <v>22451.388888888891</v>
      </c>
      <c r="Z59" s="270">
        <f t="shared" si="82"/>
        <v>23124.930555555558</v>
      </c>
      <c r="AA59" s="267">
        <v>2.6059999999999999</v>
      </c>
      <c r="AB59" s="267">
        <f t="shared" si="83"/>
        <v>2.68418</v>
      </c>
      <c r="AC59" s="267">
        <f t="shared" si="84"/>
        <v>2.7647054</v>
      </c>
      <c r="AD59" s="267">
        <f t="shared" si="85"/>
        <v>2.847646562</v>
      </c>
      <c r="AE59" s="267">
        <v>3.2330000000000001</v>
      </c>
      <c r="AF59" s="267">
        <f t="shared" ref="AF59:AF60" si="87">AE59*103%</f>
        <v>3.32999</v>
      </c>
    </row>
    <row r="60" spans="1:32" x14ac:dyDescent="0.2">
      <c r="A60" s="189" t="s">
        <v>336</v>
      </c>
      <c r="B60" s="214" t="s">
        <v>307</v>
      </c>
      <c r="C60" s="267">
        <v>63.962000000000003</v>
      </c>
      <c r="D60" s="267">
        <v>64.807452916000003</v>
      </c>
      <c r="E60" s="267">
        <v>66.751676503479999</v>
      </c>
      <c r="F60" s="267">
        <v>68.754226798584398</v>
      </c>
      <c r="G60" s="267">
        <v>70.355000000000004</v>
      </c>
      <c r="H60" s="267">
        <v>73.451999999999998</v>
      </c>
      <c r="I60" s="267">
        <v>1.069</v>
      </c>
      <c r="J60" s="267">
        <f t="shared" si="73"/>
        <v>1.10107</v>
      </c>
      <c r="K60" s="267">
        <f t="shared" si="74"/>
        <v>1.1341021</v>
      </c>
      <c r="L60" s="267">
        <f t="shared" si="75"/>
        <v>1.168125163</v>
      </c>
      <c r="M60" s="267">
        <f t="shared" si="86"/>
        <v>1.20316891789</v>
      </c>
      <c r="N60" s="267">
        <f t="shared" si="76"/>
        <v>1.2392639854267</v>
      </c>
      <c r="O60" s="214">
        <v>35</v>
      </c>
      <c r="P60" s="214">
        <v>35</v>
      </c>
      <c r="Q60" s="214">
        <v>35</v>
      </c>
      <c r="R60" s="214">
        <v>35</v>
      </c>
      <c r="S60" s="214">
        <v>35</v>
      </c>
      <c r="T60" s="214">
        <v>35</v>
      </c>
      <c r="U60" s="270">
        <f t="shared" si="77"/>
        <v>24778.571428571428</v>
      </c>
      <c r="V60" s="270">
        <f t="shared" si="78"/>
        <v>25521.928571428569</v>
      </c>
      <c r="W60" s="270">
        <f t="shared" si="79"/>
        <v>26287.586428571431</v>
      </c>
      <c r="X60" s="270">
        <f t="shared" si="80"/>
        <v>27076.214021428572</v>
      </c>
      <c r="Y60" s="270">
        <f t="shared" si="81"/>
        <v>28335.714285714283</v>
      </c>
      <c r="Z60" s="270">
        <f t="shared" si="82"/>
        <v>29185.785714285717</v>
      </c>
      <c r="AA60" s="267">
        <v>10.407</v>
      </c>
      <c r="AB60" s="267">
        <f t="shared" si="83"/>
        <v>10.71921</v>
      </c>
      <c r="AC60" s="267">
        <f t="shared" si="84"/>
        <v>11.040786300000001</v>
      </c>
      <c r="AD60" s="267">
        <f t="shared" si="85"/>
        <v>11.372009889000001</v>
      </c>
      <c r="AE60" s="267">
        <v>11.901</v>
      </c>
      <c r="AF60" s="267">
        <f t="shared" si="87"/>
        <v>12.25803</v>
      </c>
    </row>
    <row r="61" spans="1:32" ht="37.5" x14ac:dyDescent="0.2">
      <c r="A61" s="213" t="s">
        <v>232</v>
      </c>
      <c r="B61" s="214"/>
      <c r="C61" s="328">
        <f>C63</f>
        <v>94.32</v>
      </c>
      <c r="D61" s="338">
        <f t="shared" ref="D61:AF61" si="88">D63</f>
        <v>97.149599999999992</v>
      </c>
      <c r="E61" s="338">
        <f t="shared" si="88"/>
        <v>100.064088</v>
      </c>
      <c r="F61" s="338">
        <f t="shared" si="88"/>
        <v>103.06601064</v>
      </c>
      <c r="G61" s="338">
        <f t="shared" si="88"/>
        <v>108.366</v>
      </c>
      <c r="H61" s="338">
        <f t="shared" si="88"/>
        <v>111.61698</v>
      </c>
      <c r="I61" s="338">
        <f t="shared" si="88"/>
        <v>5.423</v>
      </c>
      <c r="J61" s="338">
        <f t="shared" si="88"/>
        <v>6.782</v>
      </c>
      <c r="K61" s="338">
        <f t="shared" si="88"/>
        <v>6.9854599999999998</v>
      </c>
      <c r="L61" s="338">
        <f t="shared" si="88"/>
        <v>7.1950237999999995</v>
      </c>
      <c r="M61" s="338">
        <f t="shared" si="88"/>
        <v>8.0229999999999997</v>
      </c>
      <c r="N61" s="338">
        <f t="shared" si="88"/>
        <v>9.1219999999999999</v>
      </c>
      <c r="O61" s="328">
        <f t="shared" si="88"/>
        <v>97</v>
      </c>
      <c r="P61" s="328">
        <f t="shared" si="88"/>
        <v>97</v>
      </c>
      <c r="Q61" s="328">
        <f t="shared" si="88"/>
        <v>97</v>
      </c>
      <c r="R61" s="328">
        <f t="shared" si="88"/>
        <v>97</v>
      </c>
      <c r="S61" s="328">
        <f t="shared" si="88"/>
        <v>97</v>
      </c>
      <c r="T61" s="328">
        <f t="shared" si="88"/>
        <v>97</v>
      </c>
      <c r="U61" s="329">
        <f t="shared" si="88"/>
        <v>22738.831615120274</v>
      </c>
      <c r="V61" s="329">
        <f t="shared" si="88"/>
        <v>23420.996563573881</v>
      </c>
      <c r="W61" s="329">
        <f t="shared" si="88"/>
        <v>24123.626460481097</v>
      </c>
      <c r="X61" s="329">
        <f t="shared" si="88"/>
        <v>24847.335254295529</v>
      </c>
      <c r="Y61" s="329">
        <f t="shared" si="88"/>
        <v>25181.271477663231</v>
      </c>
      <c r="Z61" s="329">
        <f t="shared" si="88"/>
        <v>25988.831615120278</v>
      </c>
      <c r="AA61" s="338">
        <f t="shared" si="88"/>
        <v>26.468</v>
      </c>
      <c r="AB61" s="338">
        <f t="shared" si="88"/>
        <v>27.262039999999999</v>
      </c>
      <c r="AC61" s="338">
        <f t="shared" si="88"/>
        <v>28.079901199999998</v>
      </c>
      <c r="AD61" s="338">
        <f t="shared" si="88"/>
        <v>28.922298236</v>
      </c>
      <c r="AE61" s="338">
        <f t="shared" si="88"/>
        <v>29.311</v>
      </c>
      <c r="AF61" s="338">
        <f t="shared" si="88"/>
        <v>30.251000000000001</v>
      </c>
    </row>
    <row r="62" spans="1:32" x14ac:dyDescent="0.2">
      <c r="A62" s="214" t="s">
        <v>223</v>
      </c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</row>
    <row r="63" spans="1:32" ht="47.25" x14ac:dyDescent="0.25">
      <c r="A63" s="263" t="s">
        <v>337</v>
      </c>
      <c r="B63" s="264" t="s">
        <v>307</v>
      </c>
      <c r="C63" s="214">
        <v>94.32</v>
      </c>
      <c r="D63" s="267">
        <f t="shared" ref="D63:H63" si="89">C63*103%</f>
        <v>97.149599999999992</v>
      </c>
      <c r="E63" s="267">
        <f t="shared" si="89"/>
        <v>100.064088</v>
      </c>
      <c r="F63" s="267">
        <f t="shared" si="89"/>
        <v>103.06601064</v>
      </c>
      <c r="G63" s="267">
        <v>108.366</v>
      </c>
      <c r="H63" s="267">
        <f t="shared" si="89"/>
        <v>111.61698</v>
      </c>
      <c r="I63" s="267">
        <v>5.423</v>
      </c>
      <c r="J63" s="267">
        <v>6.782</v>
      </c>
      <c r="K63" s="267">
        <f t="shared" ref="K63:L63" si="90">J63*103%</f>
        <v>6.9854599999999998</v>
      </c>
      <c r="L63" s="267">
        <f t="shared" si="90"/>
        <v>7.1950237999999995</v>
      </c>
      <c r="M63" s="214">
        <v>8.0229999999999997</v>
      </c>
      <c r="N63" s="214">
        <v>9.1219999999999999</v>
      </c>
      <c r="O63" s="214">
        <v>97</v>
      </c>
      <c r="P63" s="214">
        <v>97</v>
      </c>
      <c r="Q63" s="214">
        <v>97</v>
      </c>
      <c r="R63" s="214">
        <v>97</v>
      </c>
      <c r="S63" s="214">
        <v>97</v>
      </c>
      <c r="T63" s="214">
        <v>97</v>
      </c>
      <c r="U63" s="270">
        <f t="shared" ref="U63:Z63" si="91">AA63/O63/12*1000000</f>
        <v>22738.831615120274</v>
      </c>
      <c r="V63" s="270">
        <f t="shared" si="91"/>
        <v>23420.996563573881</v>
      </c>
      <c r="W63" s="214">
        <f t="shared" si="91"/>
        <v>24123.626460481097</v>
      </c>
      <c r="X63" s="270">
        <f>AD63/R63/12*1000000</f>
        <v>24847.335254295529</v>
      </c>
      <c r="Y63" s="270">
        <f t="shared" si="91"/>
        <v>25181.271477663231</v>
      </c>
      <c r="Z63" s="270">
        <f t="shared" si="91"/>
        <v>25988.831615120278</v>
      </c>
      <c r="AA63" s="267">
        <v>26.468</v>
      </c>
      <c r="AB63" s="267">
        <f t="shared" ref="AB63:AD63" si="92">AA63*103%</f>
        <v>27.262039999999999</v>
      </c>
      <c r="AC63" s="267">
        <f t="shared" si="92"/>
        <v>28.079901199999998</v>
      </c>
      <c r="AD63" s="267">
        <f t="shared" si="92"/>
        <v>28.922298236</v>
      </c>
      <c r="AE63" s="214">
        <v>29.311</v>
      </c>
      <c r="AF63" s="214">
        <v>30.251000000000001</v>
      </c>
    </row>
    <row r="64" spans="1:32" x14ac:dyDescent="0.2">
      <c r="A64" s="189"/>
      <c r="B64" s="214"/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</row>
    <row r="65" spans="1:32" ht="84" customHeight="1" x14ac:dyDescent="0.2">
      <c r="A65" s="213" t="s">
        <v>233</v>
      </c>
      <c r="B65" s="214"/>
      <c r="C65" s="329">
        <f>C67</f>
        <v>2.7330000000000001</v>
      </c>
      <c r="D65" s="328">
        <f t="shared" ref="D65:AF65" si="93">D67</f>
        <v>2.8149900000000003</v>
      </c>
      <c r="E65" s="328">
        <f t="shared" si="93"/>
        <v>2.8994397000000003</v>
      </c>
      <c r="F65" s="328">
        <f t="shared" si="93"/>
        <v>2.9864228910000006</v>
      </c>
      <c r="G65" s="328">
        <f t="shared" si="93"/>
        <v>3.0760155777300007</v>
      </c>
      <c r="H65" s="328">
        <f t="shared" si="93"/>
        <v>3.1682960450619007</v>
      </c>
      <c r="I65" s="328">
        <f t="shared" si="93"/>
        <v>0.27499999999999991</v>
      </c>
      <c r="J65" s="328">
        <f t="shared" si="93"/>
        <v>0.28324999999999989</v>
      </c>
      <c r="K65" s="328">
        <f t="shared" si="93"/>
        <v>0.29174749999999988</v>
      </c>
      <c r="L65" s="328">
        <f t="shared" si="93"/>
        <v>0.30049992499999989</v>
      </c>
      <c r="M65" s="328">
        <f t="shared" si="93"/>
        <v>0.30951492274999992</v>
      </c>
      <c r="N65" s="328">
        <f t="shared" si="93"/>
        <v>0.31880037043249992</v>
      </c>
      <c r="O65" s="328">
        <f t="shared" si="93"/>
        <v>4</v>
      </c>
      <c r="P65" s="328">
        <f t="shared" si="93"/>
        <v>4</v>
      </c>
      <c r="Q65" s="328">
        <f t="shared" si="93"/>
        <v>4</v>
      </c>
      <c r="R65" s="328">
        <f t="shared" si="93"/>
        <v>4</v>
      </c>
      <c r="S65" s="328">
        <f t="shared" si="93"/>
        <v>4</v>
      </c>
      <c r="T65" s="328">
        <f t="shared" si="93"/>
        <v>4</v>
      </c>
      <c r="U65" s="329">
        <f t="shared" si="93"/>
        <v>18812.5</v>
      </c>
      <c r="V65" s="329">
        <f t="shared" si="93"/>
        <v>19376.875</v>
      </c>
      <c r="W65" s="329">
        <f t="shared" si="93"/>
        <v>19958.181250000001</v>
      </c>
      <c r="X65" s="329">
        <f t="shared" si="93"/>
        <v>20556.926687500003</v>
      </c>
      <c r="Y65" s="329">
        <f t="shared" si="93"/>
        <v>21173.634488125004</v>
      </c>
      <c r="Z65" s="329">
        <f t="shared" si="93"/>
        <v>21808.843522768755</v>
      </c>
      <c r="AA65" s="329">
        <f t="shared" si="93"/>
        <v>0.90300000000000002</v>
      </c>
      <c r="AB65" s="329">
        <f t="shared" si="93"/>
        <v>0.93009000000000008</v>
      </c>
      <c r="AC65" s="329">
        <f t="shared" si="93"/>
        <v>0.95799270000000014</v>
      </c>
      <c r="AD65" s="329">
        <f t="shared" si="93"/>
        <v>0.98673248100000022</v>
      </c>
      <c r="AE65" s="329">
        <f t="shared" si="93"/>
        <v>1.0163344554300002</v>
      </c>
      <c r="AF65" s="329">
        <f t="shared" si="93"/>
        <v>1.0468244890929002</v>
      </c>
    </row>
    <row r="66" spans="1:32" x14ac:dyDescent="0.2">
      <c r="A66" s="214" t="s">
        <v>223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</row>
    <row r="67" spans="1:32" ht="15.75" x14ac:dyDescent="0.2">
      <c r="A67" s="189" t="s">
        <v>338</v>
      </c>
      <c r="B67" s="264" t="s">
        <v>307</v>
      </c>
      <c r="C67" s="343">
        <v>2.7330000000000001</v>
      </c>
      <c r="D67" s="343">
        <f t="shared" ref="D67:H67" si="94">C67*103%</f>
        <v>2.8149900000000003</v>
      </c>
      <c r="E67" s="343">
        <f t="shared" si="94"/>
        <v>2.8994397000000003</v>
      </c>
      <c r="F67" s="343">
        <f t="shared" si="94"/>
        <v>2.9864228910000006</v>
      </c>
      <c r="G67" s="343">
        <f t="shared" si="94"/>
        <v>3.0760155777300007</v>
      </c>
      <c r="H67" s="343">
        <f t="shared" si="94"/>
        <v>3.1682960450619007</v>
      </c>
      <c r="I67" s="266">
        <v>0.27499999999999991</v>
      </c>
      <c r="J67" s="265">
        <f t="shared" ref="J67:N67" si="95">I67*103%</f>
        <v>0.28324999999999989</v>
      </c>
      <c r="K67" s="265">
        <f t="shared" si="95"/>
        <v>0.29174749999999988</v>
      </c>
      <c r="L67" s="265">
        <f t="shared" si="95"/>
        <v>0.30049992499999989</v>
      </c>
      <c r="M67" s="265">
        <f t="shared" si="95"/>
        <v>0.30951492274999992</v>
      </c>
      <c r="N67" s="265">
        <f t="shared" si="95"/>
        <v>0.31880037043249992</v>
      </c>
      <c r="O67" s="266">
        <v>4</v>
      </c>
      <c r="P67" s="266">
        <v>4</v>
      </c>
      <c r="Q67" s="266">
        <v>4</v>
      </c>
      <c r="R67" s="266">
        <v>4</v>
      </c>
      <c r="S67" s="266">
        <v>4</v>
      </c>
      <c r="T67" s="266">
        <v>4</v>
      </c>
      <c r="U67" s="270">
        <f t="shared" ref="U67:Z67" si="96">AA67/O67/12*1000000</f>
        <v>18812.5</v>
      </c>
      <c r="V67" s="270">
        <f t="shared" si="96"/>
        <v>19376.875</v>
      </c>
      <c r="W67" s="270">
        <f t="shared" si="96"/>
        <v>19958.181250000001</v>
      </c>
      <c r="X67" s="270">
        <f t="shared" si="96"/>
        <v>20556.926687500003</v>
      </c>
      <c r="Y67" s="270">
        <f t="shared" si="96"/>
        <v>21173.634488125004</v>
      </c>
      <c r="Z67" s="270">
        <f t="shared" si="96"/>
        <v>21808.843522768755</v>
      </c>
      <c r="AA67" s="266">
        <v>0.90300000000000002</v>
      </c>
      <c r="AB67" s="265">
        <f t="shared" ref="AB67:AF67" si="97">AA67*103%</f>
        <v>0.93009000000000008</v>
      </c>
      <c r="AC67" s="265">
        <f t="shared" si="97"/>
        <v>0.95799270000000014</v>
      </c>
      <c r="AD67" s="265">
        <f t="shared" si="97"/>
        <v>0.98673248100000022</v>
      </c>
      <c r="AE67" s="265">
        <f t="shared" si="97"/>
        <v>1.0163344554300002</v>
      </c>
      <c r="AF67" s="265">
        <f t="shared" si="97"/>
        <v>1.0468244890929002</v>
      </c>
    </row>
    <row r="68" spans="1:32" x14ac:dyDescent="0.2">
      <c r="A68" s="189"/>
      <c r="B68" s="214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</row>
    <row r="69" spans="1:32" ht="56.25" x14ac:dyDescent="0.2">
      <c r="A69" s="213" t="s">
        <v>234</v>
      </c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</row>
    <row r="70" spans="1:32" x14ac:dyDescent="0.2">
      <c r="A70" s="214" t="s">
        <v>223</v>
      </c>
      <c r="B70" s="214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</row>
    <row r="71" spans="1:32" x14ac:dyDescent="0.2">
      <c r="A71" s="189"/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</row>
    <row r="72" spans="1:32" x14ac:dyDescent="0.2">
      <c r="A72" s="189"/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</row>
    <row r="73" spans="1:32" ht="18.75" x14ac:dyDescent="0.2">
      <c r="A73" s="213" t="s">
        <v>7</v>
      </c>
      <c r="B73" s="214"/>
      <c r="C73" s="328">
        <f>C75+C76+C77</f>
        <v>28.12</v>
      </c>
      <c r="D73" s="328">
        <f t="shared" ref="D73:T73" si="98">D75+D76+D77</f>
        <v>55.731000000000002</v>
      </c>
      <c r="E73" s="328">
        <f t="shared" si="98"/>
        <v>35.918999999999997</v>
      </c>
      <c r="F73" s="328">
        <f t="shared" si="98"/>
        <v>36.643999999999998</v>
      </c>
      <c r="G73" s="328">
        <f t="shared" si="98"/>
        <v>37.615000000000002</v>
      </c>
      <c r="H73" s="328">
        <f t="shared" si="98"/>
        <v>39.025999999999996</v>
      </c>
      <c r="I73" s="328">
        <f t="shared" si="98"/>
        <v>0.41100000000000003</v>
      </c>
      <c r="J73" s="328">
        <f t="shared" si="98"/>
        <v>2.4660000000000002</v>
      </c>
      <c r="K73" s="328">
        <f t="shared" si="98"/>
        <v>0.94200000000000006</v>
      </c>
      <c r="L73" s="328">
        <f t="shared" si="98"/>
        <v>1.133</v>
      </c>
      <c r="M73" s="328">
        <f t="shared" si="98"/>
        <v>1.2329999999999999</v>
      </c>
      <c r="N73" s="328">
        <f t="shared" si="98"/>
        <v>1.4339999999999997</v>
      </c>
      <c r="O73" s="328">
        <f t="shared" si="98"/>
        <v>110</v>
      </c>
      <c r="P73" s="328">
        <f t="shared" si="98"/>
        <v>108</v>
      </c>
      <c r="Q73" s="328">
        <f t="shared" si="98"/>
        <v>108</v>
      </c>
      <c r="R73" s="328">
        <f t="shared" si="98"/>
        <v>108</v>
      </c>
      <c r="S73" s="328">
        <f t="shared" si="98"/>
        <v>108</v>
      </c>
      <c r="T73" s="328">
        <f t="shared" si="98"/>
        <v>108</v>
      </c>
      <c r="U73" s="329">
        <f t="shared" ref="U73" si="99">AA73/O73/12*1000000</f>
        <v>25503.030303030304</v>
      </c>
      <c r="V73" s="329">
        <f t="shared" ref="V73" si="100">AB73/P73/12*1000000</f>
        <v>32044.753086419747</v>
      </c>
      <c r="W73" s="329">
        <f t="shared" ref="W73" si="101">AC73/Q73/12*1000000</f>
        <v>33097.222222222219</v>
      </c>
      <c r="X73" s="329">
        <f t="shared" ref="X73" si="102">AD73/R73/12*1000000</f>
        <v>34312.5</v>
      </c>
      <c r="Y73" s="329">
        <f t="shared" ref="Y73" si="103">AE73/S73/12*1000000</f>
        <v>34717.592592592591</v>
      </c>
      <c r="Z73" s="329">
        <f t="shared" ref="Z73" si="104">AF73/T73/12*1000000</f>
        <v>35839.506172839516</v>
      </c>
      <c r="AA73" s="328">
        <f t="shared" ref="AA73:AF73" si="105">AA75+AA76+AA77</f>
        <v>33.664000000000001</v>
      </c>
      <c r="AB73" s="328">
        <f t="shared" si="105"/>
        <v>41.529999999999994</v>
      </c>
      <c r="AC73" s="328">
        <f t="shared" si="105"/>
        <v>42.893999999999998</v>
      </c>
      <c r="AD73" s="328">
        <f t="shared" si="105"/>
        <v>44.469000000000001</v>
      </c>
      <c r="AE73" s="328">
        <f t="shared" si="105"/>
        <v>44.994</v>
      </c>
      <c r="AF73" s="328">
        <f t="shared" si="105"/>
        <v>46.448000000000008</v>
      </c>
    </row>
    <row r="74" spans="1:32" x14ac:dyDescent="0.2">
      <c r="A74" s="214" t="s">
        <v>223</v>
      </c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</row>
    <row r="75" spans="1:32" x14ac:dyDescent="0.2">
      <c r="A75" s="214" t="s">
        <v>339</v>
      </c>
      <c r="B75" s="214" t="s">
        <v>307</v>
      </c>
      <c r="C75" s="214">
        <v>1.097</v>
      </c>
      <c r="D75" s="214">
        <v>2.6739999999999999</v>
      </c>
      <c r="E75" s="214">
        <v>2.7530000000000001</v>
      </c>
      <c r="F75" s="214">
        <v>2.8359999999999999</v>
      </c>
      <c r="G75" s="214">
        <v>2.9209999999999998</v>
      </c>
      <c r="H75" s="214">
        <v>3.4220000000000002</v>
      </c>
      <c r="I75" s="214">
        <v>2.1000000000000001E-2</v>
      </c>
      <c r="J75" s="214">
        <v>2.5000000000000001E-2</v>
      </c>
      <c r="K75" s="214">
        <v>2.5000000000000001E-2</v>
      </c>
      <c r="L75" s="214">
        <v>2.5000000000000001E-2</v>
      </c>
      <c r="M75" s="214">
        <v>2.5000000000000001E-2</v>
      </c>
      <c r="N75" s="214">
        <v>2.5000000000000001E-2</v>
      </c>
      <c r="O75" s="214">
        <v>71</v>
      </c>
      <c r="P75" s="214">
        <v>71</v>
      </c>
      <c r="Q75" s="214">
        <v>71</v>
      </c>
      <c r="R75" s="214">
        <v>71</v>
      </c>
      <c r="S75" s="214">
        <v>71</v>
      </c>
      <c r="T75" s="214">
        <v>71</v>
      </c>
      <c r="U75" s="270">
        <f t="shared" ref="U75:Z78" si="106">AA75/O75/12*1000000</f>
        <v>23757.042253521126</v>
      </c>
      <c r="V75" s="270">
        <f t="shared" si="106"/>
        <v>32572.769953051647</v>
      </c>
      <c r="W75" s="270">
        <f t="shared" si="106"/>
        <v>33550.469483568071</v>
      </c>
      <c r="X75" s="270">
        <f t="shared" si="106"/>
        <v>34557.511737089204</v>
      </c>
      <c r="Y75" s="270">
        <f t="shared" si="106"/>
        <v>34557.511737089204</v>
      </c>
      <c r="Z75" s="270">
        <f t="shared" si="106"/>
        <v>35314.553990610329</v>
      </c>
      <c r="AA75" s="214">
        <v>20.241</v>
      </c>
      <c r="AB75" s="214">
        <v>27.751999999999999</v>
      </c>
      <c r="AC75" s="214">
        <v>28.585000000000001</v>
      </c>
      <c r="AD75" s="214">
        <v>29.443000000000001</v>
      </c>
      <c r="AE75" s="214">
        <v>29.443000000000001</v>
      </c>
      <c r="AF75" s="214">
        <v>30.088000000000001</v>
      </c>
    </row>
    <row r="76" spans="1:32" x14ac:dyDescent="0.2">
      <c r="A76" s="189" t="s">
        <v>340</v>
      </c>
      <c r="B76" s="214" t="s">
        <v>320</v>
      </c>
      <c r="C76" s="214">
        <v>13.585000000000001</v>
      </c>
      <c r="D76" s="214">
        <v>14</v>
      </c>
      <c r="E76" s="214">
        <v>14.2</v>
      </c>
      <c r="F76" s="214">
        <v>14.2</v>
      </c>
      <c r="G76" s="214">
        <v>14.4</v>
      </c>
      <c r="H76" s="214">
        <v>14.6</v>
      </c>
      <c r="I76" s="214">
        <v>0.42599999999999999</v>
      </c>
      <c r="J76" s="214">
        <v>0.70599999999999996</v>
      </c>
      <c r="K76" s="214">
        <v>0.91</v>
      </c>
      <c r="L76" s="214">
        <v>1.1000000000000001</v>
      </c>
      <c r="M76" s="214">
        <v>1.2</v>
      </c>
      <c r="N76" s="214">
        <v>1.4</v>
      </c>
      <c r="O76" s="214">
        <v>24</v>
      </c>
      <c r="P76" s="214">
        <v>24</v>
      </c>
      <c r="Q76" s="214">
        <v>24</v>
      </c>
      <c r="R76" s="214">
        <v>24</v>
      </c>
      <c r="S76" s="214">
        <v>24</v>
      </c>
      <c r="T76" s="214">
        <v>24</v>
      </c>
      <c r="U76" s="270">
        <f t="shared" si="106"/>
        <v>23618.055555555555</v>
      </c>
      <c r="V76" s="270">
        <f t="shared" si="106"/>
        <v>23784.722222222223</v>
      </c>
      <c r="W76" s="270">
        <f t="shared" si="106"/>
        <v>23958.333333333336</v>
      </c>
      <c r="X76" s="270">
        <f t="shared" si="106"/>
        <v>24131.944444444445</v>
      </c>
      <c r="Y76" s="270">
        <f t="shared" si="106"/>
        <v>24131.944444444445</v>
      </c>
      <c r="Z76" s="270">
        <f t="shared" si="106"/>
        <v>24999.999999999996</v>
      </c>
      <c r="AA76" s="214">
        <v>6.8019999999999996</v>
      </c>
      <c r="AB76" s="214">
        <v>6.85</v>
      </c>
      <c r="AC76" s="214">
        <v>6.9</v>
      </c>
      <c r="AD76" s="214">
        <v>6.95</v>
      </c>
      <c r="AE76" s="214">
        <v>6.95</v>
      </c>
      <c r="AF76" s="214">
        <v>7.2</v>
      </c>
    </row>
    <row r="77" spans="1:32" x14ac:dyDescent="0.2">
      <c r="A77" s="189" t="s">
        <v>341</v>
      </c>
      <c r="B77" s="214" t="s">
        <v>307</v>
      </c>
      <c r="C77" s="214">
        <v>13.438000000000001</v>
      </c>
      <c r="D77" s="214">
        <v>39.057000000000002</v>
      </c>
      <c r="E77" s="214">
        <v>18.966000000000001</v>
      </c>
      <c r="F77" s="214">
        <v>19.608000000000001</v>
      </c>
      <c r="G77" s="214">
        <v>20.294</v>
      </c>
      <c r="H77" s="214">
        <v>21.004000000000001</v>
      </c>
      <c r="I77" s="214">
        <f>0.036*(-1)</f>
        <v>-3.5999999999999997E-2</v>
      </c>
      <c r="J77" s="214">
        <v>1.7350000000000001</v>
      </c>
      <c r="K77" s="214">
        <v>7.0000000000000001E-3</v>
      </c>
      <c r="L77" s="214">
        <v>8.0000000000000002E-3</v>
      </c>
      <c r="M77" s="214">
        <v>8.0000000000000002E-3</v>
      </c>
      <c r="N77" s="214">
        <v>8.9999999999999993E-3</v>
      </c>
      <c r="O77" s="214">
        <v>15</v>
      </c>
      <c r="P77" s="214">
        <v>13</v>
      </c>
      <c r="Q77" s="214">
        <v>13</v>
      </c>
      <c r="R77" s="214">
        <v>13</v>
      </c>
      <c r="S77" s="214">
        <v>13</v>
      </c>
      <c r="T77" s="214">
        <v>13</v>
      </c>
      <c r="U77" s="270">
        <f t="shared" si="106"/>
        <v>36783.333333333336</v>
      </c>
      <c r="V77" s="270">
        <f t="shared" si="106"/>
        <v>44410.256410256414</v>
      </c>
      <c r="W77" s="270">
        <f t="shared" si="106"/>
        <v>47493.589743589742</v>
      </c>
      <c r="X77" s="270">
        <f t="shared" si="106"/>
        <v>51769.230769230766</v>
      </c>
      <c r="Y77" s="270">
        <f t="shared" si="106"/>
        <v>55134.61538461539</v>
      </c>
      <c r="Z77" s="270">
        <f t="shared" si="106"/>
        <v>58717.948717948719</v>
      </c>
      <c r="AA77" s="214">
        <v>6.6210000000000004</v>
      </c>
      <c r="AB77" s="214">
        <v>6.9279999999999999</v>
      </c>
      <c r="AC77" s="214">
        <v>7.4089999999999998</v>
      </c>
      <c r="AD77" s="214">
        <v>8.0760000000000005</v>
      </c>
      <c r="AE77" s="214">
        <v>8.6010000000000009</v>
      </c>
      <c r="AF77" s="214">
        <v>9.16</v>
      </c>
    </row>
    <row r="78" spans="1:32" ht="56.25" x14ac:dyDescent="0.2">
      <c r="A78" s="215" t="s">
        <v>235</v>
      </c>
      <c r="B78" s="214"/>
      <c r="C78" s="344">
        <f>C73+C65+C61+C56+C52+C48+C38+C28+C8</f>
        <v>1539.4236079000002</v>
      </c>
      <c r="D78" s="344">
        <f t="shared" ref="D78:AF78" si="107">D73+D65+D61+D56+D52+D48+D38+D28+D8</f>
        <v>1619.4914890529999</v>
      </c>
      <c r="E78" s="344">
        <f t="shared" si="107"/>
        <v>1681.55666372459</v>
      </c>
      <c r="F78" s="344">
        <f t="shared" si="107"/>
        <v>1749.8470212983277</v>
      </c>
      <c r="G78" s="344">
        <f t="shared" si="107"/>
        <v>1790.4160155777301</v>
      </c>
      <c r="H78" s="344">
        <f t="shared" si="107"/>
        <v>1932.3245660450621</v>
      </c>
      <c r="I78" s="344">
        <f t="shared" si="107"/>
        <v>121.381</v>
      </c>
      <c r="J78" s="344">
        <f t="shared" si="107"/>
        <v>145.67529000000002</v>
      </c>
      <c r="K78" s="344">
        <f t="shared" si="107"/>
        <v>166.19528869999999</v>
      </c>
      <c r="L78" s="344">
        <f t="shared" si="107"/>
        <v>192.55506852500002</v>
      </c>
      <c r="M78" s="344">
        <f t="shared" si="107"/>
        <v>198.75628491954001</v>
      </c>
      <c r="N78" s="344">
        <f t="shared" si="107"/>
        <v>205.46568346712615</v>
      </c>
      <c r="O78" s="346">
        <f t="shared" si="107"/>
        <v>688</v>
      </c>
      <c r="P78" s="346">
        <f t="shared" si="107"/>
        <v>689</v>
      </c>
      <c r="Q78" s="346">
        <f t="shared" si="107"/>
        <v>695</v>
      </c>
      <c r="R78" s="346">
        <f t="shared" si="107"/>
        <v>695</v>
      </c>
      <c r="S78" s="346">
        <f t="shared" si="107"/>
        <v>695</v>
      </c>
      <c r="T78" s="346">
        <f t="shared" si="107"/>
        <v>695</v>
      </c>
      <c r="U78" s="345">
        <f t="shared" si="106"/>
        <v>23569.161821705431</v>
      </c>
      <c r="V78" s="345">
        <f t="shared" si="106"/>
        <v>25505.686985970002</v>
      </c>
      <c r="W78" s="345">
        <f t="shared" si="106"/>
        <v>26378.013261390886</v>
      </c>
      <c r="X78" s="345">
        <f t="shared" si="106"/>
        <v>27602.252722661873</v>
      </c>
      <c r="Y78" s="345">
        <f t="shared" si="106"/>
        <v>28525.939383145076</v>
      </c>
      <c r="Z78" s="345">
        <f t="shared" si="106"/>
        <v>30055.976557445196</v>
      </c>
      <c r="AA78" s="344">
        <f t="shared" si="107"/>
        <v>194.58700000000005</v>
      </c>
      <c r="AB78" s="344">
        <f t="shared" si="107"/>
        <v>210.88101999999998</v>
      </c>
      <c r="AC78" s="344">
        <f t="shared" si="107"/>
        <v>219.99263059999998</v>
      </c>
      <c r="AD78" s="344">
        <f t="shared" si="107"/>
        <v>230.20278770700003</v>
      </c>
      <c r="AE78" s="344">
        <f t="shared" si="107"/>
        <v>237.90633445542994</v>
      </c>
      <c r="AF78" s="344">
        <f t="shared" si="107"/>
        <v>250.66684448909291</v>
      </c>
    </row>
    <row r="79" spans="1:32" x14ac:dyDescent="0.2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</sheetData>
  <mergeCells count="30">
    <mergeCell ref="C2:J2"/>
    <mergeCell ref="K2:N2"/>
    <mergeCell ref="D6:D7"/>
    <mergeCell ref="J6:J7"/>
    <mergeCell ref="C4:N4"/>
    <mergeCell ref="F6:H6"/>
    <mergeCell ref="I6:I7"/>
    <mergeCell ref="I5:N5"/>
    <mergeCell ref="C5:H5"/>
    <mergeCell ref="O4:AF4"/>
    <mergeCell ref="U5:Z5"/>
    <mergeCell ref="AA6:AA7"/>
    <mergeCell ref="AC6:AC7"/>
    <mergeCell ref="AD6:AF6"/>
    <mergeCell ref="P6:P7"/>
    <mergeCell ref="V6:V7"/>
    <mergeCell ref="R6:T6"/>
    <mergeCell ref="AA5:AF5"/>
    <mergeCell ref="AB6:AB7"/>
    <mergeCell ref="U6:U7"/>
    <mergeCell ref="W6:W7"/>
    <mergeCell ref="X6:Z6"/>
    <mergeCell ref="O5:T5"/>
    <mergeCell ref="Q6:Q7"/>
    <mergeCell ref="O6:O7"/>
    <mergeCell ref="B4:B7"/>
    <mergeCell ref="C6:C7"/>
    <mergeCell ref="E6:E7"/>
    <mergeCell ref="K6:K7"/>
    <mergeCell ref="L6:N6"/>
  </mergeCells>
  <phoneticPr fontId="15" type="noConversion"/>
  <printOptions horizontalCentered="1"/>
  <pageMargins left="0.19685039370078741" right="0" top="0.19685039370078741" bottom="0.19685039370078741" header="0.11811023622047245" footer="0.11811023622047245"/>
  <pageSetup paperSize="9" scale="63" fitToWidth="0" fitToHeight="0" orientation="landscape" r:id="rId1"/>
  <headerFooter alignWithMargins="0"/>
  <rowBreaks count="1" manualBreakCount="1">
    <brk id="33" max="37" man="1"/>
  </rowBreaks>
  <colBreaks count="1" manualBreakCount="1">
    <brk id="14" max="15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0"/>
  </sheetPr>
  <dimension ref="A1:AF55"/>
  <sheetViews>
    <sheetView view="pageBreakPreview" topLeftCell="A27" zoomScale="60" zoomScaleNormal="60" workbookViewId="0">
      <selection activeCell="J24" sqref="J24"/>
    </sheetView>
  </sheetViews>
  <sheetFormatPr defaultRowHeight="12.75" x14ac:dyDescent="0.2"/>
  <cols>
    <col min="1" max="1" width="94.28515625" customWidth="1"/>
    <col min="2" max="2" width="24.28515625" style="61" customWidth="1"/>
    <col min="3" max="5" width="13.5703125" bestFit="1" customWidth="1"/>
    <col min="6" max="6" width="13.7109375" customWidth="1"/>
    <col min="7" max="8" width="13.5703125" bestFit="1" customWidth="1"/>
    <col min="9" max="9" width="24.140625" style="51" customWidth="1"/>
    <col min="10" max="15" width="21.28515625" bestFit="1" customWidth="1"/>
    <col min="16" max="16" width="18.85546875" bestFit="1" customWidth="1"/>
    <col min="17" max="19" width="16.7109375" bestFit="1" customWidth="1"/>
    <col min="20" max="20" width="15.7109375" customWidth="1"/>
  </cols>
  <sheetData>
    <row r="1" spans="1:32" ht="22.5" customHeight="1" x14ac:dyDescent="0.2">
      <c r="A1" s="48"/>
      <c r="B1" s="51"/>
      <c r="C1" s="48"/>
      <c r="D1" s="48"/>
      <c r="E1" s="48"/>
      <c r="F1" s="48"/>
      <c r="G1" s="48"/>
      <c r="H1" s="48"/>
      <c r="I1" s="49"/>
      <c r="J1" s="49"/>
      <c r="K1" s="49"/>
      <c r="L1" s="49"/>
      <c r="M1" s="49"/>
      <c r="N1" s="408" t="s">
        <v>64</v>
      </c>
      <c r="O1" s="408"/>
      <c r="P1" s="408"/>
      <c r="Q1" s="408"/>
      <c r="R1" s="408"/>
      <c r="S1" s="408"/>
      <c r="T1" s="408"/>
      <c r="U1" s="45"/>
      <c r="V1" s="45"/>
      <c r="W1" s="45"/>
      <c r="X1" s="45"/>
      <c r="Y1" s="45"/>
      <c r="Z1" s="45"/>
      <c r="AA1" s="45"/>
    </row>
    <row r="2" spans="1:32" ht="82.5" customHeight="1" x14ac:dyDescent="0.2">
      <c r="A2" s="412" t="s">
        <v>69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241"/>
    </row>
    <row r="3" spans="1:32" ht="20.25" x14ac:dyDescent="0.2">
      <c r="A3" s="413" t="s">
        <v>32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242"/>
    </row>
    <row r="5" spans="1:32" ht="97.5" customHeight="1" x14ac:dyDescent="0.25">
      <c r="A5" s="414" t="s">
        <v>55</v>
      </c>
      <c r="B5" s="409" t="s">
        <v>71</v>
      </c>
      <c r="C5" s="410"/>
      <c r="D5" s="410"/>
      <c r="E5" s="410"/>
      <c r="F5" s="410"/>
      <c r="G5" s="410"/>
      <c r="H5" s="411"/>
      <c r="I5" s="415" t="s">
        <v>33</v>
      </c>
      <c r="J5" s="410" t="s">
        <v>279</v>
      </c>
      <c r="K5" s="410"/>
      <c r="L5" s="410"/>
      <c r="M5" s="410"/>
      <c r="N5" s="410"/>
      <c r="O5" s="411"/>
      <c r="P5" s="415" t="s">
        <v>194</v>
      </c>
      <c r="Q5" s="415"/>
      <c r="R5" s="415"/>
      <c r="S5" s="415"/>
      <c r="T5" s="415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 ht="78.75" customHeight="1" x14ac:dyDescent="0.25">
      <c r="A6" s="414"/>
      <c r="B6" s="224" t="s">
        <v>9</v>
      </c>
      <c r="C6" s="224" t="s">
        <v>259</v>
      </c>
      <c r="D6" s="224" t="s">
        <v>265</v>
      </c>
      <c r="E6" s="224" t="s">
        <v>266</v>
      </c>
      <c r="F6" s="224" t="s">
        <v>272</v>
      </c>
      <c r="G6" s="224" t="s">
        <v>274</v>
      </c>
      <c r="H6" s="224" t="s">
        <v>291</v>
      </c>
      <c r="I6" s="415"/>
      <c r="J6" s="243" t="str">
        <f t="shared" ref="J6:O6" si="0">C6</f>
        <v>2022 г.</v>
      </c>
      <c r="K6" s="243" t="str">
        <f t="shared" si="0"/>
        <v>2023 г.</v>
      </c>
      <c r="L6" s="243" t="str">
        <f t="shared" si="0"/>
        <v>2024 г.</v>
      </c>
      <c r="M6" s="243" t="str">
        <f t="shared" si="0"/>
        <v>2025 г.</v>
      </c>
      <c r="N6" s="243" t="str">
        <f t="shared" si="0"/>
        <v>2026 г.</v>
      </c>
      <c r="O6" s="243" t="str">
        <f t="shared" si="0"/>
        <v>2027 г.</v>
      </c>
      <c r="P6" s="243" t="str">
        <f>D6</f>
        <v>2023 г.</v>
      </c>
      <c r="Q6" s="248" t="str">
        <f t="shared" ref="Q6:T6" si="1">E6</f>
        <v>2024 г.</v>
      </c>
      <c r="R6" s="248" t="str">
        <f t="shared" si="1"/>
        <v>2025 г.</v>
      </c>
      <c r="S6" s="248" t="str">
        <f t="shared" si="1"/>
        <v>2026 г.</v>
      </c>
      <c r="T6" s="248" t="str">
        <f t="shared" si="1"/>
        <v>2027 г.</v>
      </c>
      <c r="U6" s="237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81" x14ac:dyDescent="0.25">
      <c r="A7" s="225" t="s">
        <v>34</v>
      </c>
      <c r="B7" s="226">
        <v>1</v>
      </c>
      <c r="C7" s="226">
        <v>2</v>
      </c>
      <c r="D7" s="226">
        <v>3</v>
      </c>
      <c r="E7" s="226">
        <v>4</v>
      </c>
      <c r="F7" s="226">
        <v>5</v>
      </c>
      <c r="G7" s="226">
        <v>6</v>
      </c>
      <c r="H7" s="226">
        <v>7</v>
      </c>
      <c r="I7" s="226">
        <v>8</v>
      </c>
      <c r="J7" s="226">
        <v>9</v>
      </c>
      <c r="K7" s="226">
        <v>10</v>
      </c>
      <c r="L7" s="226">
        <v>11</v>
      </c>
      <c r="M7" s="226">
        <v>12</v>
      </c>
      <c r="N7" s="226">
        <v>13</v>
      </c>
      <c r="O7" s="226">
        <v>14</v>
      </c>
      <c r="P7" s="227" t="s">
        <v>260</v>
      </c>
      <c r="Q7" s="227" t="s">
        <v>261</v>
      </c>
      <c r="R7" s="227" t="s">
        <v>262</v>
      </c>
      <c r="S7" s="227" t="s">
        <v>263</v>
      </c>
      <c r="T7" s="227" t="s">
        <v>264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27" x14ac:dyDescent="0.35">
      <c r="A8" s="416" t="s">
        <v>35</v>
      </c>
      <c r="B8" s="417"/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27" x14ac:dyDescent="0.2">
      <c r="A9" s="427" t="s">
        <v>247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  <c r="Q9" s="428"/>
      <c r="R9" s="428"/>
      <c r="S9" s="428"/>
      <c r="T9" s="428"/>
    </row>
    <row r="10" spans="1:32" ht="26.25" x14ac:dyDescent="0.4">
      <c r="A10" s="5" t="s">
        <v>236</v>
      </c>
      <c r="B10" s="30"/>
      <c r="C10" s="6"/>
      <c r="D10" s="6"/>
      <c r="E10" s="6"/>
      <c r="F10" s="6"/>
      <c r="G10" s="6"/>
      <c r="H10" s="6"/>
      <c r="I10" s="30"/>
      <c r="J10" s="7"/>
      <c r="K10" s="7"/>
      <c r="L10" s="7"/>
      <c r="M10" s="7"/>
      <c r="N10" s="7"/>
      <c r="O10" s="7"/>
      <c r="P10" s="29"/>
      <c r="Q10" s="29"/>
      <c r="R10" s="29"/>
      <c r="S10" s="29"/>
      <c r="T10" s="29"/>
    </row>
    <row r="11" spans="1:32" ht="52.5" x14ac:dyDescent="0.4">
      <c r="A11" s="11" t="s">
        <v>237</v>
      </c>
      <c r="B11" s="53" t="s">
        <v>39</v>
      </c>
      <c r="C11" s="8">
        <v>298.7</v>
      </c>
      <c r="D11" s="8">
        <v>302.10000000000002</v>
      </c>
      <c r="E11" s="8">
        <v>311.60000000000002</v>
      </c>
      <c r="F11" s="8">
        <v>321.7</v>
      </c>
      <c r="G11" s="8">
        <v>325.8</v>
      </c>
      <c r="H11" s="8">
        <v>346.38</v>
      </c>
      <c r="I11" s="63">
        <v>318.45999999999998</v>
      </c>
      <c r="J11" s="352">
        <f>C11*D11</f>
        <v>90237.27</v>
      </c>
      <c r="K11" s="352">
        <f>D11*I11</f>
        <v>96206.766000000003</v>
      </c>
      <c r="L11" s="352">
        <f>E11*I11</f>
        <v>99232.135999999999</v>
      </c>
      <c r="M11" s="352">
        <f>F11*I11</f>
        <v>102448.58199999999</v>
      </c>
      <c r="N11" s="352">
        <f>G11*I11</f>
        <v>103754.268</v>
      </c>
      <c r="O11" s="352">
        <f>H11*I11</f>
        <v>110308.17479999999</v>
      </c>
      <c r="P11" s="348">
        <f>K11/J11*100</f>
        <v>106.61533311014395</v>
      </c>
      <c r="Q11" s="348">
        <f>L11/K11*100</f>
        <v>103.14465408805032</v>
      </c>
      <c r="R11" s="348">
        <f t="shared" ref="R11:S11" si="2">M11/L11*100</f>
        <v>103.24133504492939</v>
      </c>
      <c r="S11" s="348">
        <f t="shared" si="2"/>
        <v>101.274479328567</v>
      </c>
      <c r="T11" s="348">
        <f>O11/N11*100</f>
        <v>106.31675874769797</v>
      </c>
    </row>
    <row r="12" spans="1:32" ht="26.25" x14ac:dyDescent="0.4">
      <c r="A12" s="223" t="s">
        <v>238</v>
      </c>
      <c r="B12" s="30"/>
      <c r="C12" s="14"/>
      <c r="D12" s="14"/>
      <c r="E12" s="14"/>
      <c r="F12" s="14"/>
      <c r="G12" s="14"/>
      <c r="H12" s="14"/>
      <c r="I12" s="30"/>
      <c r="J12" s="15"/>
      <c r="K12" s="15"/>
      <c r="L12" s="15"/>
      <c r="M12" s="15"/>
      <c r="N12" s="15"/>
      <c r="O12" s="15"/>
      <c r="P12" s="30"/>
      <c r="Q12" s="30"/>
      <c r="R12" s="30"/>
      <c r="S12" s="30"/>
      <c r="T12" s="30"/>
    </row>
    <row r="13" spans="1:32" ht="26.25" x14ac:dyDescent="0.4">
      <c r="A13" s="13" t="s">
        <v>343</v>
      </c>
      <c r="B13" s="54" t="s">
        <v>36</v>
      </c>
      <c r="C13" s="14">
        <v>631781</v>
      </c>
      <c r="D13" s="14">
        <v>642188</v>
      </c>
      <c r="E13" s="14">
        <v>642188</v>
      </c>
      <c r="F13" s="14">
        <v>642188</v>
      </c>
      <c r="G13" s="14">
        <v>642188</v>
      </c>
      <c r="H13" s="14">
        <v>642188</v>
      </c>
      <c r="I13" s="312">
        <v>1.3036799999999999</v>
      </c>
      <c r="J13" s="349">
        <f>C13*I13</f>
        <v>823640.25407999998</v>
      </c>
      <c r="K13" s="349">
        <f>D13*I13</f>
        <v>837207.65183999995</v>
      </c>
      <c r="L13" s="349">
        <f>E13*I13</f>
        <v>837207.65183999995</v>
      </c>
      <c r="M13" s="349">
        <f>F13*I13</f>
        <v>837207.65183999995</v>
      </c>
      <c r="N13" s="349">
        <f>G13*I13</f>
        <v>837207.65183999995</v>
      </c>
      <c r="O13" s="349">
        <f>H13*I13</f>
        <v>837207.65183999995</v>
      </c>
      <c r="P13" s="354">
        <f>K13/J13*100</f>
        <v>101.64724801790493</v>
      </c>
      <c r="Q13" s="30">
        <f t="shared" ref="Q13:R14" si="3">L13/K13*100</f>
        <v>100</v>
      </c>
      <c r="R13" s="30">
        <f t="shared" si="3"/>
        <v>100</v>
      </c>
      <c r="S13" s="30">
        <f>N13/M13*100</f>
        <v>100</v>
      </c>
      <c r="T13" s="30">
        <f>O13/N13*100</f>
        <v>100</v>
      </c>
    </row>
    <row r="14" spans="1:32" ht="26.25" x14ac:dyDescent="0.4">
      <c r="A14" s="31" t="s">
        <v>37</v>
      </c>
      <c r="B14" s="55" t="s">
        <v>54</v>
      </c>
      <c r="C14" s="17"/>
      <c r="D14" s="17"/>
      <c r="E14" s="17"/>
      <c r="F14" s="17"/>
      <c r="G14" s="17" t="s">
        <v>54</v>
      </c>
      <c r="H14" s="17"/>
      <c r="I14" s="64" t="s">
        <v>54</v>
      </c>
      <c r="J14" s="350">
        <f t="shared" ref="J14:O14" si="4">J11+J13</f>
        <v>913877.52408</v>
      </c>
      <c r="K14" s="350">
        <f t="shared" si="4"/>
        <v>933414.41784000001</v>
      </c>
      <c r="L14" s="350">
        <f t="shared" si="4"/>
        <v>936439.78783999989</v>
      </c>
      <c r="M14" s="350">
        <f t="shared" si="4"/>
        <v>939656.23383999988</v>
      </c>
      <c r="N14" s="350">
        <f t="shared" si="4"/>
        <v>940961.91983999999</v>
      </c>
      <c r="O14" s="350">
        <f t="shared" si="4"/>
        <v>947515.82663999998</v>
      </c>
      <c r="P14" s="353">
        <f>K14/J14*100</f>
        <v>102.13780219397208</v>
      </c>
      <c r="Q14" s="353">
        <f t="shared" si="3"/>
        <v>100.32411862750104</v>
      </c>
      <c r="R14" s="353">
        <f t="shared" si="3"/>
        <v>100.34347600793629</v>
      </c>
      <c r="S14" s="353">
        <f>N14/M14*100</f>
        <v>100.13895358248881</v>
      </c>
      <c r="T14" s="18">
        <f>O14/N14*100</f>
        <v>100.69651137435129</v>
      </c>
    </row>
    <row r="15" spans="1:32" ht="27" x14ac:dyDescent="0.2">
      <c r="A15" s="427" t="s">
        <v>248</v>
      </c>
      <c r="B15" s="428"/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</row>
    <row r="16" spans="1:32" ht="52.5" customHeight="1" x14ac:dyDescent="0.4">
      <c r="A16" s="220" t="s">
        <v>242</v>
      </c>
      <c r="B16" s="222"/>
      <c r="C16" s="221"/>
      <c r="D16" s="17"/>
      <c r="E16" s="17"/>
      <c r="F16" s="17"/>
      <c r="G16" s="17"/>
      <c r="H16" s="17"/>
      <c r="I16" s="219"/>
      <c r="J16" s="18"/>
      <c r="K16" s="18"/>
      <c r="L16" s="18"/>
      <c r="M16" s="18"/>
      <c r="N16" s="18"/>
      <c r="O16" s="18"/>
      <c r="P16" s="219"/>
      <c r="Q16" s="219"/>
      <c r="R16" s="219"/>
      <c r="S16" s="219"/>
      <c r="T16" s="245"/>
    </row>
    <row r="17" spans="1:20" ht="26.25" x14ac:dyDescent="0.4">
      <c r="A17" s="11" t="s">
        <v>243</v>
      </c>
      <c r="B17" s="53" t="s">
        <v>36</v>
      </c>
      <c r="C17" s="8">
        <v>224.3</v>
      </c>
      <c r="D17" s="8">
        <v>231.6</v>
      </c>
      <c r="E17" s="8">
        <v>236.1</v>
      </c>
      <c r="F17" s="8">
        <v>238.6</v>
      </c>
      <c r="G17" s="8">
        <v>241.5</v>
      </c>
      <c r="H17" s="8">
        <v>253.6</v>
      </c>
      <c r="I17" s="63">
        <v>25.08</v>
      </c>
      <c r="J17" s="352">
        <f>C17*I17</f>
        <v>5625.4439999999995</v>
      </c>
      <c r="K17" s="352">
        <f t="shared" ref="K17:K18" si="5">D17*I17</f>
        <v>5808.5279999999993</v>
      </c>
      <c r="L17" s="352">
        <f t="shared" ref="L17:L18" si="6">E17*I17</f>
        <v>5921.387999999999</v>
      </c>
      <c r="M17" s="352">
        <f t="shared" ref="M17:M18" si="7">F17*I17</f>
        <v>5984.0879999999997</v>
      </c>
      <c r="N17" s="352">
        <f t="shared" ref="N17:N18" si="8">G17*I17</f>
        <v>6056.82</v>
      </c>
      <c r="O17" s="352">
        <f t="shared" ref="O17:O18" si="9">H17*I17</f>
        <v>6360.2879999999996</v>
      </c>
      <c r="P17" s="348">
        <f t="shared" ref="P17:P18" si="10">K17/J17*100</f>
        <v>103.25456977262594</v>
      </c>
      <c r="Q17" s="348">
        <f t="shared" ref="Q17:Q18" si="11">L17/K17*100</f>
        <v>101.94300518134713</v>
      </c>
      <c r="R17" s="348">
        <f t="shared" ref="R17:R18" si="12">M17/L17*100</f>
        <v>101.0588733587463</v>
      </c>
      <c r="S17" s="348">
        <f t="shared" ref="S17:S18" si="13">N17/M17*100</f>
        <v>101.2154233025985</v>
      </c>
      <c r="T17" s="348">
        <f t="shared" ref="T17:T18" si="14">O17/N17*100</f>
        <v>105.0103519668737</v>
      </c>
    </row>
    <row r="18" spans="1:20" ht="52.5" x14ac:dyDescent="0.4">
      <c r="A18" s="11" t="s">
        <v>244</v>
      </c>
      <c r="B18" s="53" t="s">
        <v>36</v>
      </c>
      <c r="C18" s="8">
        <v>4.9000000000000004</v>
      </c>
      <c r="D18" s="8">
        <v>5.0999999999999996</v>
      </c>
      <c r="E18" s="8">
        <v>5.2</v>
      </c>
      <c r="F18" s="8">
        <v>5.4</v>
      </c>
      <c r="G18" s="8">
        <v>5.8</v>
      </c>
      <c r="H18" s="8">
        <v>5.9</v>
      </c>
      <c r="I18" s="63">
        <v>97.04</v>
      </c>
      <c r="J18" s="352">
        <f>C18*I18</f>
        <v>475.49600000000004</v>
      </c>
      <c r="K18" s="352">
        <f t="shared" si="5"/>
        <v>494.904</v>
      </c>
      <c r="L18" s="352">
        <f t="shared" si="6"/>
        <v>504.60800000000006</v>
      </c>
      <c r="M18" s="352">
        <f t="shared" si="7"/>
        <v>524.01600000000008</v>
      </c>
      <c r="N18" s="352">
        <f t="shared" si="8"/>
        <v>562.83199999999999</v>
      </c>
      <c r="O18" s="352">
        <f t="shared" si="9"/>
        <v>572.53600000000006</v>
      </c>
      <c r="P18" s="348">
        <f t="shared" si="10"/>
        <v>104.08163265306121</v>
      </c>
      <c r="Q18" s="348">
        <f t="shared" si="11"/>
        <v>101.96078431372551</v>
      </c>
      <c r="R18" s="348">
        <f t="shared" si="12"/>
        <v>103.84615384615385</v>
      </c>
      <c r="S18" s="348">
        <f t="shared" si="13"/>
        <v>107.40740740740739</v>
      </c>
      <c r="T18" s="348">
        <f t="shared" si="14"/>
        <v>101.72413793103449</v>
      </c>
    </row>
    <row r="19" spans="1:20" ht="26.25" x14ac:dyDescent="0.4">
      <c r="A19" s="313" t="s">
        <v>344</v>
      </c>
      <c r="B19" s="30"/>
      <c r="C19" s="8"/>
      <c r="D19" s="8"/>
      <c r="E19" s="8"/>
      <c r="F19" s="8"/>
      <c r="G19" s="8"/>
      <c r="H19" s="8"/>
      <c r="I19" s="116"/>
      <c r="J19" s="10"/>
      <c r="K19" s="10"/>
      <c r="L19" s="10"/>
      <c r="M19" s="10"/>
      <c r="N19" s="10"/>
      <c r="O19" s="10"/>
      <c r="P19" s="348"/>
      <c r="Q19" s="348"/>
      <c r="R19" s="348"/>
      <c r="S19" s="348"/>
      <c r="T19" s="348"/>
    </row>
    <row r="20" spans="1:20" ht="57.75" customHeight="1" x14ac:dyDescent="0.4">
      <c r="A20" s="11" t="s">
        <v>345</v>
      </c>
      <c r="B20" s="53" t="s">
        <v>245</v>
      </c>
      <c r="C20" s="355">
        <v>0.127743</v>
      </c>
      <c r="D20" s="8">
        <v>0.1288</v>
      </c>
      <c r="E20" s="8">
        <v>0.13109999999999999</v>
      </c>
      <c r="F20" s="8">
        <v>0.1321</v>
      </c>
      <c r="G20" s="8">
        <v>0.13320000000000001</v>
      </c>
      <c r="H20" s="16">
        <v>0.13752</v>
      </c>
      <c r="I20" s="12">
        <v>272.37</v>
      </c>
      <c r="J20" s="352">
        <f>C20*I20</f>
        <v>34.793360909999997</v>
      </c>
      <c r="K20" s="352">
        <f>D20*I20</f>
        <v>35.081256000000003</v>
      </c>
      <c r="L20" s="352">
        <f>E20*I20</f>
        <v>35.707706999999999</v>
      </c>
      <c r="M20" s="352">
        <f>F20*I20</f>
        <v>35.980077000000001</v>
      </c>
      <c r="N20" s="352">
        <f>G20*I20</f>
        <v>36.279684000000003</v>
      </c>
      <c r="O20" s="352">
        <f>H20*I20</f>
        <v>37.456322400000005</v>
      </c>
      <c r="P20" s="348">
        <f>K20/J20*100</f>
        <v>100.82744259959451</v>
      </c>
      <c r="Q20" s="348">
        <f>L20/K20*100</f>
        <v>101.78571428571428</v>
      </c>
      <c r="R20" s="348">
        <f t="shared" ref="R20:R21" si="15">M20/L20*100</f>
        <v>100.7627765064836</v>
      </c>
      <c r="S20" s="348">
        <f t="shared" ref="S20:S21" si="16">N20/M20*100</f>
        <v>100.83270249810749</v>
      </c>
      <c r="T20" s="348">
        <f>O20/N20*100</f>
        <v>103.24324324324326</v>
      </c>
    </row>
    <row r="21" spans="1:20" ht="27.75" x14ac:dyDescent="0.4">
      <c r="A21" s="32" t="s">
        <v>37</v>
      </c>
      <c r="B21" s="56" t="s">
        <v>54</v>
      </c>
      <c r="C21" s="17" t="s">
        <v>54</v>
      </c>
      <c r="D21" s="17" t="s">
        <v>54</v>
      </c>
      <c r="E21" s="17" t="s">
        <v>54</v>
      </c>
      <c r="F21" s="17"/>
      <c r="G21" s="17" t="s">
        <v>54</v>
      </c>
      <c r="H21" s="17"/>
      <c r="I21" s="64" t="s">
        <v>54</v>
      </c>
      <c r="J21" s="350">
        <f>J17+J18+J20</f>
        <v>6135.7333609099996</v>
      </c>
      <c r="K21" s="350">
        <f t="shared" ref="K21:O21" si="17">K17+K18+K20</f>
        <v>6338.5132559999993</v>
      </c>
      <c r="L21" s="350">
        <f t="shared" si="17"/>
        <v>6461.7037069999988</v>
      </c>
      <c r="M21" s="350">
        <f t="shared" si="17"/>
        <v>6544.0840769999995</v>
      </c>
      <c r="N21" s="350">
        <f t="shared" si="17"/>
        <v>6655.9316840000001</v>
      </c>
      <c r="O21" s="350">
        <f t="shared" si="17"/>
        <v>6970.2803223999999</v>
      </c>
      <c r="P21" s="353">
        <f>K21/J21*100</f>
        <v>103.30490070481038</v>
      </c>
      <c r="Q21" s="353">
        <f>L21/K21*100</f>
        <v>101.94352281086401</v>
      </c>
      <c r="R21" s="353">
        <f t="shared" si="15"/>
        <v>101.27490169366257</v>
      </c>
      <c r="S21" s="353">
        <f t="shared" si="16"/>
        <v>101.70914073969652</v>
      </c>
      <c r="T21" s="353">
        <f>O21/N21*100</f>
        <v>104.72283450798712</v>
      </c>
    </row>
    <row r="22" spans="1:20" ht="27" customHeight="1" x14ac:dyDescent="0.2">
      <c r="A22" s="418" t="s">
        <v>246</v>
      </c>
      <c r="B22" s="419"/>
      <c r="C22" s="419"/>
      <c r="D22" s="419"/>
      <c r="E22" s="419"/>
      <c r="F22" s="419"/>
      <c r="G22" s="419"/>
      <c r="H22" s="419"/>
      <c r="I22" s="419"/>
      <c r="J22" s="419"/>
      <c r="K22" s="419"/>
      <c r="L22" s="419"/>
      <c r="M22" s="419"/>
      <c r="N22" s="419"/>
      <c r="O22" s="419"/>
      <c r="P22" s="419"/>
      <c r="Q22" s="419"/>
      <c r="R22" s="419"/>
      <c r="S22" s="419"/>
      <c r="T22" s="419"/>
    </row>
    <row r="23" spans="1:20" ht="57.75" customHeight="1" x14ac:dyDescent="0.4">
      <c r="A23" s="21" t="s">
        <v>249</v>
      </c>
      <c r="B23" s="12" t="s">
        <v>250</v>
      </c>
      <c r="C23" s="355">
        <v>47.7</v>
      </c>
      <c r="D23" s="8">
        <v>50.3</v>
      </c>
      <c r="E23" s="8">
        <v>51.6</v>
      </c>
      <c r="F23" s="8">
        <v>52.3</v>
      </c>
      <c r="G23" s="8">
        <v>54.3</v>
      </c>
      <c r="H23" s="8">
        <v>55.7</v>
      </c>
      <c r="I23" s="63">
        <v>945.2</v>
      </c>
      <c r="J23" s="347">
        <f>C23*I23</f>
        <v>45086.040000000008</v>
      </c>
      <c r="K23" s="347">
        <f t="shared" ref="K23" si="18">D23*I23</f>
        <v>47543.56</v>
      </c>
      <c r="L23" s="347">
        <f t="shared" ref="L23" si="19">E23*I23</f>
        <v>48772.320000000007</v>
      </c>
      <c r="M23" s="347">
        <f t="shared" ref="M23" si="20">F23*I23</f>
        <v>49433.96</v>
      </c>
      <c r="N23" s="347">
        <f t="shared" ref="N23" si="21">G23*I23</f>
        <v>51324.36</v>
      </c>
      <c r="O23" s="347">
        <f t="shared" ref="O23" si="22">H23*I23</f>
        <v>52647.640000000007</v>
      </c>
      <c r="P23" s="348">
        <f t="shared" ref="P23" si="23">K23/J23*100</f>
        <v>105.45073375262052</v>
      </c>
      <c r="Q23" s="348">
        <f t="shared" ref="Q23" si="24">L23/K23*100</f>
        <v>102.58449304174952</v>
      </c>
      <c r="R23" s="348">
        <f t="shared" ref="R23" si="25">M23/L23*100</f>
        <v>101.3565891472868</v>
      </c>
      <c r="S23" s="348">
        <f t="shared" ref="S23" si="26">N23/M23*100</f>
        <v>103.82409177820269</v>
      </c>
      <c r="T23" s="348">
        <f t="shared" ref="T23" si="27">O23/N23*100</f>
        <v>102.57826887661143</v>
      </c>
    </row>
    <row r="24" spans="1:20" ht="26.25" x14ac:dyDescent="0.4">
      <c r="A24" s="117" t="s">
        <v>37</v>
      </c>
      <c r="B24" s="113"/>
      <c r="C24" s="114"/>
      <c r="D24" s="114"/>
      <c r="E24" s="114"/>
      <c r="F24" s="114"/>
      <c r="G24" s="114"/>
      <c r="H24" s="114"/>
      <c r="I24" s="115"/>
      <c r="J24" s="357">
        <f>J23</f>
        <v>45086.040000000008</v>
      </c>
      <c r="K24" s="357">
        <f t="shared" ref="K24:T24" si="28">K23</f>
        <v>47543.56</v>
      </c>
      <c r="L24" s="357">
        <f t="shared" si="28"/>
        <v>48772.320000000007</v>
      </c>
      <c r="M24" s="357">
        <f t="shared" si="28"/>
        <v>49433.96</v>
      </c>
      <c r="N24" s="357">
        <f t="shared" si="28"/>
        <v>51324.36</v>
      </c>
      <c r="O24" s="357">
        <f t="shared" si="28"/>
        <v>52647.640000000007</v>
      </c>
      <c r="P24" s="360">
        <f t="shared" si="28"/>
        <v>105.45073375262052</v>
      </c>
      <c r="Q24" s="360">
        <f t="shared" si="28"/>
        <v>102.58449304174952</v>
      </c>
      <c r="R24" s="360">
        <f t="shared" si="28"/>
        <v>101.3565891472868</v>
      </c>
      <c r="S24" s="360">
        <f t="shared" si="28"/>
        <v>103.82409177820269</v>
      </c>
      <c r="T24" s="360">
        <f t="shared" si="28"/>
        <v>102.57826887661143</v>
      </c>
    </row>
    <row r="25" spans="1:20" ht="71.25" customHeight="1" x14ac:dyDescent="0.4">
      <c r="A25" s="33" t="s">
        <v>252</v>
      </c>
      <c r="B25" s="17" t="s">
        <v>54</v>
      </c>
      <c r="C25" s="17" t="s">
        <v>54</v>
      </c>
      <c r="D25" s="17" t="s">
        <v>54</v>
      </c>
      <c r="E25" s="17" t="s">
        <v>54</v>
      </c>
      <c r="F25" s="17"/>
      <c r="G25" s="17" t="s">
        <v>54</v>
      </c>
      <c r="H25" s="17"/>
      <c r="I25" s="128" t="s">
        <v>54</v>
      </c>
      <c r="J25" s="356">
        <f>J24+J21+J14</f>
        <v>965099.29744091001</v>
      </c>
      <c r="K25" s="18">
        <f t="shared" ref="K25:O25" si="29">K24+K21+K14</f>
        <v>987296.49109599995</v>
      </c>
      <c r="L25" s="18">
        <f t="shared" si="29"/>
        <v>991673.81154699984</v>
      </c>
      <c r="M25" s="18">
        <f t="shared" si="29"/>
        <v>995634.27791699988</v>
      </c>
      <c r="N25" s="18">
        <f t="shared" si="29"/>
        <v>998942.21152400004</v>
      </c>
      <c r="O25" s="18">
        <f t="shared" si="29"/>
        <v>1007133.7469624</v>
      </c>
      <c r="P25" s="353">
        <f>K25/J25*100</f>
        <v>102.29999065525679</v>
      </c>
      <c r="Q25" s="353">
        <f>L25/K25*100</f>
        <v>100.44336432778573</v>
      </c>
      <c r="R25" s="353">
        <f t="shared" ref="R25" si="30">M25/L25*100</f>
        <v>100.39937188255701</v>
      </c>
      <c r="S25" s="353">
        <f t="shared" ref="S25" si="31">N25/M25*100</f>
        <v>100.33224384499104</v>
      </c>
      <c r="T25" s="353">
        <f>O25/N25*100</f>
        <v>100.82002095255369</v>
      </c>
    </row>
    <row r="26" spans="1:20" ht="27" customHeight="1" x14ac:dyDescent="0.2">
      <c r="A26" s="423" t="s">
        <v>197</v>
      </c>
      <c r="B26" s="424"/>
      <c r="C26" s="424"/>
      <c r="D26" s="424"/>
      <c r="E26" s="424"/>
      <c r="F26" s="424"/>
      <c r="G26" s="424"/>
      <c r="H26" s="424"/>
      <c r="I26" s="424"/>
      <c r="J26" s="424"/>
      <c r="K26" s="424"/>
      <c r="L26" s="424"/>
      <c r="M26" s="424"/>
      <c r="N26" s="424"/>
      <c r="O26" s="424"/>
      <c r="P26" s="424"/>
      <c r="Q26" s="424"/>
      <c r="R26" s="424"/>
      <c r="S26" s="424"/>
      <c r="T26" s="424"/>
    </row>
    <row r="27" spans="1:20" ht="57.75" customHeight="1" x14ac:dyDescent="0.4">
      <c r="A27" s="21" t="s">
        <v>346</v>
      </c>
      <c r="B27" s="21" t="s">
        <v>251</v>
      </c>
      <c r="C27" s="355">
        <v>792.6</v>
      </c>
      <c r="D27" s="8">
        <v>781.3</v>
      </c>
      <c r="E27" s="8">
        <v>791.8</v>
      </c>
      <c r="F27" s="8">
        <v>801.6</v>
      </c>
      <c r="G27" s="8">
        <v>811.4</v>
      </c>
      <c r="H27" s="8">
        <v>823.6</v>
      </c>
      <c r="I27" s="9">
        <v>509.11</v>
      </c>
      <c r="J27" s="351">
        <f>C27*I27</f>
        <v>403520.58600000001</v>
      </c>
      <c r="K27" s="351">
        <f t="shared" ref="K27" si="32">D27*I27</f>
        <v>397767.64299999998</v>
      </c>
      <c r="L27" s="351">
        <f t="shared" ref="L27" si="33">E27*I27</f>
        <v>403113.29800000001</v>
      </c>
      <c r="M27" s="351">
        <f t="shared" ref="M27" si="34">F27*I27</f>
        <v>408102.576</v>
      </c>
      <c r="N27" s="351">
        <f t="shared" ref="N27" si="35">G27*I27</f>
        <v>413091.85399999999</v>
      </c>
      <c r="O27" s="351">
        <f t="shared" ref="O27" si="36">H27*I27</f>
        <v>419302.99600000004</v>
      </c>
      <c r="P27" s="348">
        <f t="shared" ref="P27" si="37">K27/J27*100</f>
        <v>98.574312389603818</v>
      </c>
      <c r="Q27" s="348">
        <f t="shared" ref="Q27" si="38">L27/K27*100</f>
        <v>101.34391398950468</v>
      </c>
      <c r="R27" s="348">
        <f t="shared" ref="R27" si="39">M27/L27*100</f>
        <v>101.23768628441525</v>
      </c>
      <c r="S27" s="348">
        <f t="shared" ref="S27" si="40">N27/M27*100</f>
        <v>101.22255489021956</v>
      </c>
      <c r="T27" s="348">
        <f t="shared" ref="T27" si="41">O27/N27*100</f>
        <v>101.5035740695095</v>
      </c>
    </row>
    <row r="28" spans="1:20" ht="27.75" x14ac:dyDescent="0.4">
      <c r="A28" s="32" t="s">
        <v>37</v>
      </c>
      <c r="B28" s="56" t="s">
        <v>54</v>
      </c>
      <c r="C28" s="17" t="s">
        <v>54</v>
      </c>
      <c r="D28" s="17" t="s">
        <v>54</v>
      </c>
      <c r="E28" s="17" t="s">
        <v>54</v>
      </c>
      <c r="F28" s="17"/>
      <c r="G28" s="17" t="s">
        <v>54</v>
      </c>
      <c r="H28" s="17"/>
      <c r="I28" s="64" t="s">
        <v>54</v>
      </c>
      <c r="J28" s="353">
        <f>J27</f>
        <v>403520.58600000001</v>
      </c>
      <c r="K28" s="18">
        <f t="shared" ref="K28:T28" si="42">K27</f>
        <v>397767.64299999998</v>
      </c>
      <c r="L28" s="18">
        <f t="shared" si="42"/>
        <v>403113.29800000001</v>
      </c>
      <c r="M28" s="18">
        <f t="shared" si="42"/>
        <v>408102.576</v>
      </c>
      <c r="N28" s="18">
        <f t="shared" si="42"/>
        <v>413091.85399999999</v>
      </c>
      <c r="O28" s="18">
        <f t="shared" si="42"/>
        <v>419302.99600000004</v>
      </c>
      <c r="P28" s="353">
        <f t="shared" si="42"/>
        <v>98.574312389603818</v>
      </c>
      <c r="Q28" s="353">
        <f t="shared" si="42"/>
        <v>101.34391398950468</v>
      </c>
      <c r="R28" s="353">
        <f t="shared" si="42"/>
        <v>101.23768628441525</v>
      </c>
      <c r="S28" s="353">
        <f t="shared" si="42"/>
        <v>101.22255489021956</v>
      </c>
      <c r="T28" s="353">
        <f t="shared" si="42"/>
        <v>101.5035740695095</v>
      </c>
    </row>
    <row r="29" spans="1:20" ht="27" x14ac:dyDescent="0.35">
      <c r="A29" s="425" t="s">
        <v>253</v>
      </c>
      <c r="B29" s="426"/>
      <c r="C29" s="426"/>
      <c r="D29" s="426"/>
      <c r="E29" s="426"/>
      <c r="F29" s="426"/>
      <c r="G29" s="426"/>
      <c r="H29" s="426"/>
      <c r="I29" s="426"/>
      <c r="J29" s="426"/>
      <c r="K29" s="426"/>
      <c r="L29" s="426"/>
      <c r="M29" s="426"/>
      <c r="N29" s="426"/>
      <c r="O29" s="426"/>
      <c r="P29" s="426"/>
      <c r="Q29" s="426"/>
      <c r="R29" s="426"/>
      <c r="S29" s="426"/>
      <c r="T29" s="426"/>
    </row>
    <row r="30" spans="1:20" ht="26.25" x14ac:dyDescent="0.4">
      <c r="A30" s="19" t="s">
        <v>40</v>
      </c>
      <c r="B30" s="52" t="s">
        <v>36</v>
      </c>
      <c r="C30" s="6">
        <v>17560</v>
      </c>
      <c r="D30" s="6">
        <v>18032</v>
      </c>
      <c r="E30" s="6">
        <v>18236</v>
      </c>
      <c r="F30" s="6">
        <v>18451</v>
      </c>
      <c r="G30" s="6">
        <v>18902</v>
      </c>
      <c r="H30" s="6">
        <v>19122</v>
      </c>
      <c r="I30" s="62">
        <v>109.5</v>
      </c>
      <c r="J30" s="20">
        <f>C30*I30</f>
        <v>1922820</v>
      </c>
      <c r="K30" s="20">
        <f t="shared" ref="K30:K35" si="43">D30*I30</f>
        <v>1974504</v>
      </c>
      <c r="L30" s="20">
        <f t="shared" ref="L30:L35" si="44">E30*I30</f>
        <v>1996842</v>
      </c>
      <c r="M30" s="20">
        <f t="shared" ref="M30:M35" si="45">F30*I30</f>
        <v>2020384.5</v>
      </c>
      <c r="N30" s="20">
        <f t="shared" ref="N30:N35" si="46">G30*I30</f>
        <v>2069769</v>
      </c>
      <c r="O30" s="20">
        <f t="shared" ref="O30:O35" si="47">H30*I30</f>
        <v>2093859</v>
      </c>
      <c r="P30" s="358">
        <f t="shared" ref="P30:P34" si="48">K30/J30*100</f>
        <v>102.6879271070615</v>
      </c>
      <c r="Q30" s="358">
        <f t="shared" ref="Q30:Q34" si="49">L30/K30*100</f>
        <v>101.13132209405502</v>
      </c>
      <c r="R30" s="358">
        <f t="shared" ref="R30:R34" si="50">M30/L30*100</f>
        <v>101.17898661987277</v>
      </c>
      <c r="S30" s="358">
        <f t="shared" ref="S30:S34" si="51">N30/M30*100</f>
        <v>102.4443119614113</v>
      </c>
      <c r="T30" s="358">
        <f t="shared" ref="T30:T34" si="52">O30/N30*100</f>
        <v>101.16389800021162</v>
      </c>
    </row>
    <row r="31" spans="1:20" ht="26.25" x14ac:dyDescent="0.4">
      <c r="A31" s="38" t="s">
        <v>41</v>
      </c>
      <c r="B31" s="53" t="s">
        <v>36</v>
      </c>
      <c r="C31" s="8">
        <v>15</v>
      </c>
      <c r="D31" s="8">
        <v>16</v>
      </c>
      <c r="E31" s="8">
        <v>17</v>
      </c>
      <c r="F31" s="8">
        <v>18</v>
      </c>
      <c r="G31" s="8">
        <v>20</v>
      </c>
      <c r="H31" s="8">
        <v>25</v>
      </c>
      <c r="I31" s="63">
        <v>315.2</v>
      </c>
      <c r="J31" s="22">
        <f>C31*I31</f>
        <v>4728</v>
      </c>
      <c r="K31" s="22">
        <f t="shared" si="43"/>
        <v>5043.2</v>
      </c>
      <c r="L31" s="22">
        <f t="shared" si="44"/>
        <v>5358.4</v>
      </c>
      <c r="M31" s="22">
        <f t="shared" si="45"/>
        <v>5673.5999999999995</v>
      </c>
      <c r="N31" s="22">
        <f t="shared" si="46"/>
        <v>6304</v>
      </c>
      <c r="O31" s="22">
        <f t="shared" si="47"/>
        <v>7880</v>
      </c>
      <c r="P31" s="359">
        <f t="shared" si="48"/>
        <v>106.66666666666667</v>
      </c>
      <c r="Q31" s="359">
        <f t="shared" si="49"/>
        <v>106.25</v>
      </c>
      <c r="R31" s="359">
        <f t="shared" si="50"/>
        <v>105.88235294117648</v>
      </c>
      <c r="S31" s="359">
        <f t="shared" si="51"/>
        <v>111.11111111111111</v>
      </c>
      <c r="T31" s="359">
        <f t="shared" si="52"/>
        <v>125</v>
      </c>
    </row>
    <row r="32" spans="1:20" ht="26.25" x14ac:dyDescent="0.4">
      <c r="A32" s="21" t="s">
        <v>42</v>
      </c>
      <c r="B32" s="53" t="s">
        <v>36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63">
        <v>444</v>
      </c>
      <c r="J32" s="22">
        <f t="shared" ref="J32:J35" si="53">C32*D32</f>
        <v>0</v>
      </c>
      <c r="K32" s="22">
        <f t="shared" si="43"/>
        <v>0</v>
      </c>
      <c r="L32" s="22">
        <f t="shared" si="44"/>
        <v>0</v>
      </c>
      <c r="M32" s="22">
        <f t="shared" si="45"/>
        <v>0</v>
      </c>
      <c r="N32" s="22">
        <f t="shared" si="46"/>
        <v>0</v>
      </c>
      <c r="O32" s="22">
        <f t="shared" si="47"/>
        <v>0</v>
      </c>
      <c r="P32" s="359">
        <v>0</v>
      </c>
      <c r="Q32" s="359">
        <v>0</v>
      </c>
      <c r="R32" s="359">
        <v>0</v>
      </c>
      <c r="S32" s="359">
        <v>0</v>
      </c>
      <c r="T32" s="359">
        <v>0</v>
      </c>
    </row>
    <row r="33" spans="1:20" ht="26.25" x14ac:dyDescent="0.4">
      <c r="A33" s="21" t="s">
        <v>43</v>
      </c>
      <c r="B33" s="53" t="s">
        <v>36</v>
      </c>
      <c r="C33" s="8">
        <v>201.3</v>
      </c>
      <c r="D33" s="8">
        <v>212.3</v>
      </c>
      <c r="E33" s="8">
        <v>218.4</v>
      </c>
      <c r="F33" s="8">
        <v>221.4</v>
      </c>
      <c r="G33" s="8">
        <v>228.3</v>
      </c>
      <c r="H33" s="8">
        <v>231.4</v>
      </c>
      <c r="I33" s="63">
        <v>1500</v>
      </c>
      <c r="J33" s="22">
        <f>C33*I33</f>
        <v>301950</v>
      </c>
      <c r="K33" s="22">
        <f>D33*I33</f>
        <v>318450</v>
      </c>
      <c r="L33" s="22">
        <f t="shared" si="44"/>
        <v>327600</v>
      </c>
      <c r="M33" s="22">
        <f t="shared" si="45"/>
        <v>332100</v>
      </c>
      <c r="N33" s="22">
        <f t="shared" si="46"/>
        <v>342450</v>
      </c>
      <c r="O33" s="22">
        <f t="shared" si="47"/>
        <v>347100</v>
      </c>
      <c r="P33" s="359">
        <f t="shared" si="48"/>
        <v>105.46448087431695</v>
      </c>
      <c r="Q33" s="359">
        <f t="shared" si="49"/>
        <v>102.8732925105982</v>
      </c>
      <c r="R33" s="359">
        <f t="shared" si="50"/>
        <v>101.37362637362637</v>
      </c>
      <c r="S33" s="359">
        <f t="shared" si="51"/>
        <v>103.11653116531166</v>
      </c>
      <c r="T33" s="359">
        <f t="shared" si="52"/>
        <v>101.35786246167325</v>
      </c>
    </row>
    <row r="34" spans="1:20" ht="26.25" x14ac:dyDescent="0.4">
      <c r="A34" s="21" t="s">
        <v>44</v>
      </c>
      <c r="B34" s="53" t="s">
        <v>36</v>
      </c>
      <c r="C34" s="8">
        <v>3125.1</v>
      </c>
      <c r="D34" s="8">
        <v>3208.2</v>
      </c>
      <c r="E34" s="8">
        <v>3310.4</v>
      </c>
      <c r="F34" s="8">
        <v>3342.5</v>
      </c>
      <c r="G34" s="8">
        <v>3402.7</v>
      </c>
      <c r="H34" s="8">
        <v>3512.4</v>
      </c>
      <c r="I34" s="63">
        <v>296.3</v>
      </c>
      <c r="J34" s="22">
        <f>C34*I34</f>
        <v>925967.13</v>
      </c>
      <c r="K34" s="22">
        <f t="shared" si="43"/>
        <v>950589.66</v>
      </c>
      <c r="L34" s="22">
        <f t="shared" si="44"/>
        <v>980871.52</v>
      </c>
      <c r="M34" s="22">
        <f t="shared" si="45"/>
        <v>990382.75</v>
      </c>
      <c r="N34" s="22">
        <f>G34*I34</f>
        <v>1008220.01</v>
      </c>
      <c r="O34" s="22">
        <f>H34*I34</f>
        <v>1040724.1200000001</v>
      </c>
      <c r="P34" s="359">
        <f t="shared" si="48"/>
        <v>102.65911490832293</v>
      </c>
      <c r="Q34" s="359">
        <f t="shared" si="49"/>
        <v>103.18558693348294</v>
      </c>
      <c r="R34" s="359">
        <f t="shared" si="50"/>
        <v>100.96967133881103</v>
      </c>
      <c r="S34" s="359">
        <f t="shared" si="51"/>
        <v>101.80104712041884</v>
      </c>
      <c r="T34" s="359">
        <f t="shared" si="52"/>
        <v>103.22391042407502</v>
      </c>
    </row>
    <row r="35" spans="1:20" ht="26.25" x14ac:dyDescent="0.4">
      <c r="A35" s="21" t="s">
        <v>45</v>
      </c>
      <c r="B35" s="53" t="s">
        <v>38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63">
        <v>90.8</v>
      </c>
      <c r="J35" s="22">
        <f t="shared" si="53"/>
        <v>0</v>
      </c>
      <c r="K35" s="22">
        <f t="shared" si="43"/>
        <v>0</v>
      </c>
      <c r="L35" s="22">
        <f t="shared" si="44"/>
        <v>0</v>
      </c>
      <c r="M35" s="22">
        <f t="shared" si="45"/>
        <v>0</v>
      </c>
      <c r="N35" s="22">
        <f t="shared" si="46"/>
        <v>0</v>
      </c>
      <c r="O35" s="22">
        <f t="shared" si="47"/>
        <v>0</v>
      </c>
      <c r="P35" s="359">
        <v>0</v>
      </c>
      <c r="Q35" s="359">
        <v>0</v>
      </c>
      <c r="R35" s="359">
        <v>0</v>
      </c>
      <c r="S35" s="359">
        <v>0</v>
      </c>
      <c r="T35" s="359">
        <v>0</v>
      </c>
    </row>
    <row r="36" spans="1:20" ht="27.75" x14ac:dyDescent="0.4">
      <c r="A36" s="32" t="s">
        <v>37</v>
      </c>
      <c r="B36" s="56" t="s">
        <v>54</v>
      </c>
      <c r="C36" s="17"/>
      <c r="D36" s="17"/>
      <c r="E36" s="17"/>
      <c r="F36" s="17"/>
      <c r="G36" s="17" t="s">
        <v>54</v>
      </c>
      <c r="H36" s="17"/>
      <c r="I36" s="64" t="s">
        <v>54</v>
      </c>
      <c r="J36" s="18">
        <f>J30+J31+J32+J33+J34+J35</f>
        <v>3155465.13</v>
      </c>
      <c r="K36" s="18">
        <f t="shared" ref="K36:O36" si="54">K30+K31+K32+K33+K34+K35</f>
        <v>3248586.8600000003</v>
      </c>
      <c r="L36" s="18">
        <f t="shared" si="54"/>
        <v>3310671.92</v>
      </c>
      <c r="M36" s="18">
        <f t="shared" si="54"/>
        <v>3348540.85</v>
      </c>
      <c r="N36" s="18">
        <f t="shared" si="54"/>
        <v>3426743.01</v>
      </c>
      <c r="O36" s="18">
        <f t="shared" si="54"/>
        <v>3489563.12</v>
      </c>
      <c r="P36" s="353">
        <f>K36/J36*100</f>
        <v>102.95112530684185</v>
      </c>
      <c r="Q36" s="353">
        <f>L36/K36*100</f>
        <v>101.91114052588391</v>
      </c>
      <c r="R36" s="353">
        <f t="shared" ref="R36" si="55">M36/L36*100</f>
        <v>101.14384423812071</v>
      </c>
      <c r="S36" s="353">
        <f t="shared" ref="S36" si="56">N36/M36*100</f>
        <v>102.33541006375955</v>
      </c>
      <c r="T36" s="353">
        <f>O36/N36*100</f>
        <v>101.83323084972164</v>
      </c>
    </row>
    <row r="37" spans="1:20" ht="27.75" x14ac:dyDescent="0.4">
      <c r="A37" s="34"/>
      <c r="B37" s="57"/>
      <c r="C37" s="26"/>
      <c r="D37" s="26"/>
      <c r="E37" s="26"/>
      <c r="F37" s="26"/>
      <c r="G37" s="26"/>
      <c r="H37" s="26"/>
      <c r="I37" s="65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1:20" ht="26.25" x14ac:dyDescent="0.4">
      <c r="A38" s="421" t="s">
        <v>56</v>
      </c>
      <c r="B38" s="422"/>
      <c r="C38" s="422"/>
      <c r="D38" s="422"/>
      <c r="E38" s="422"/>
      <c r="F38" s="422"/>
      <c r="G38" s="422"/>
      <c r="H38" s="422"/>
      <c r="I38" s="422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1:20" ht="26.25" x14ac:dyDescent="0.4">
      <c r="A39" s="35" t="s">
        <v>255</v>
      </c>
      <c r="B39" s="58"/>
      <c r="C39" s="36"/>
      <c r="D39" s="36"/>
      <c r="E39" s="36"/>
      <c r="F39" s="36"/>
      <c r="G39" s="36"/>
      <c r="H39" s="36"/>
      <c r="I39" s="66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</row>
    <row r="40" spans="1:20" ht="57.75" customHeight="1" x14ac:dyDescent="0.2">
      <c r="A40" s="420" t="s">
        <v>58</v>
      </c>
      <c r="B40" s="420"/>
      <c r="C40" s="420"/>
      <c r="D40" s="420"/>
      <c r="E40" s="420"/>
      <c r="F40" s="420"/>
      <c r="G40" s="420"/>
      <c r="H40" s="420"/>
      <c r="I40" s="420"/>
      <c r="J40" s="420"/>
      <c r="K40" s="420"/>
      <c r="L40" s="420"/>
      <c r="M40" s="420"/>
      <c r="N40" s="420"/>
      <c r="O40" s="420"/>
      <c r="P40" s="420"/>
      <c r="Q40" s="420"/>
      <c r="R40" s="420"/>
      <c r="S40" s="420"/>
      <c r="T40" s="246"/>
    </row>
    <row r="41" spans="1:20" ht="20.25" x14ac:dyDescent="0.3">
      <c r="A41" s="28"/>
      <c r="B41" s="59"/>
      <c r="C41" s="23"/>
      <c r="D41" s="23"/>
      <c r="E41" s="23"/>
      <c r="F41" s="23"/>
      <c r="G41" s="23"/>
      <c r="H41" s="23"/>
      <c r="I41" s="67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</row>
    <row r="42" spans="1:20" ht="20.25" x14ac:dyDescent="0.3">
      <c r="A42" s="23"/>
      <c r="B42" s="59"/>
      <c r="C42" s="23"/>
      <c r="D42" s="23"/>
      <c r="E42" s="23"/>
      <c r="F42" s="23"/>
      <c r="G42" s="23"/>
      <c r="H42" s="23"/>
      <c r="I42" s="67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</row>
    <row r="43" spans="1:20" ht="20.25" x14ac:dyDescent="0.3">
      <c r="A43" s="23"/>
      <c r="B43" s="59"/>
      <c r="C43" s="23"/>
      <c r="D43" s="23"/>
      <c r="E43" s="23"/>
      <c r="F43" s="23"/>
      <c r="G43" s="23"/>
      <c r="H43" s="23"/>
      <c r="I43" s="67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20" ht="20.25" x14ac:dyDescent="0.3">
      <c r="A44" s="23"/>
      <c r="B44" s="59"/>
      <c r="C44" s="23"/>
      <c r="D44" s="23"/>
      <c r="E44" s="23"/>
      <c r="F44" s="23"/>
      <c r="G44" s="23"/>
      <c r="H44" s="23"/>
      <c r="I44" s="67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  <row r="45" spans="1:20" ht="20.25" x14ac:dyDescent="0.3">
      <c r="A45" s="23"/>
      <c r="B45" s="59"/>
      <c r="C45" s="23"/>
      <c r="D45" s="23"/>
      <c r="E45" s="23"/>
      <c r="F45" s="23"/>
      <c r="G45" s="23"/>
      <c r="H45" s="23"/>
      <c r="I45" s="67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</row>
    <row r="46" spans="1:20" ht="20.25" x14ac:dyDescent="0.3">
      <c r="A46" s="23"/>
      <c r="B46" s="59"/>
      <c r="C46" s="23"/>
      <c r="D46" s="23"/>
      <c r="E46" s="23"/>
      <c r="F46" s="23"/>
      <c r="G46" s="23"/>
      <c r="H46" s="23"/>
      <c r="I46" s="67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</row>
    <row r="47" spans="1:20" ht="20.25" x14ac:dyDescent="0.3">
      <c r="A47" s="23"/>
      <c r="B47" s="59"/>
      <c r="C47" s="23"/>
      <c r="D47" s="23"/>
      <c r="E47" s="23"/>
      <c r="F47" s="23"/>
      <c r="G47" s="23"/>
      <c r="H47" s="23"/>
      <c r="I47" s="67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</row>
    <row r="48" spans="1:20" ht="20.25" x14ac:dyDescent="0.3">
      <c r="A48" s="23"/>
      <c r="B48" s="59"/>
      <c r="C48" s="23"/>
      <c r="D48" s="23"/>
      <c r="E48" s="23"/>
      <c r="F48" s="23"/>
      <c r="G48" s="23"/>
      <c r="H48" s="23"/>
      <c r="I48" s="67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</row>
    <row r="49" spans="1:9" x14ac:dyDescent="0.2">
      <c r="A49" s="25"/>
      <c r="B49" s="60"/>
      <c r="C49" s="25"/>
      <c r="D49" s="25"/>
      <c r="E49" s="25"/>
      <c r="F49" s="25"/>
      <c r="G49" s="25"/>
      <c r="H49" s="25"/>
      <c r="I49" s="68"/>
    </row>
    <row r="50" spans="1:9" x14ac:dyDescent="0.2">
      <c r="A50" s="25"/>
      <c r="B50" s="60"/>
      <c r="C50" s="25"/>
      <c r="D50" s="25"/>
      <c r="E50" s="25"/>
      <c r="F50" s="25"/>
      <c r="G50" s="25"/>
      <c r="H50" s="25"/>
      <c r="I50" s="68"/>
    </row>
    <row r="51" spans="1:9" x14ac:dyDescent="0.2">
      <c r="A51" s="25"/>
      <c r="B51" s="60"/>
      <c r="C51" s="25"/>
      <c r="D51" s="25"/>
      <c r="E51" s="25"/>
      <c r="F51" s="25"/>
      <c r="G51" s="25"/>
      <c r="H51" s="25"/>
      <c r="I51" s="68"/>
    </row>
    <row r="52" spans="1:9" x14ac:dyDescent="0.2">
      <c r="A52" s="25"/>
      <c r="B52" s="60"/>
      <c r="C52" s="25"/>
      <c r="D52" s="25"/>
      <c r="E52" s="25"/>
      <c r="F52" s="25"/>
      <c r="G52" s="25"/>
      <c r="H52" s="25"/>
      <c r="I52" s="68"/>
    </row>
    <row r="53" spans="1:9" x14ac:dyDescent="0.2">
      <c r="A53" s="25"/>
      <c r="B53" s="60"/>
      <c r="C53" s="25"/>
      <c r="D53" s="25"/>
      <c r="E53" s="25"/>
      <c r="F53" s="25"/>
      <c r="G53" s="25"/>
      <c r="H53" s="25"/>
      <c r="I53" s="68"/>
    </row>
    <row r="54" spans="1:9" x14ac:dyDescent="0.2">
      <c r="A54" s="25"/>
      <c r="B54" s="60"/>
      <c r="C54" s="25"/>
      <c r="D54" s="25"/>
      <c r="E54" s="25"/>
      <c r="F54" s="25"/>
      <c r="G54" s="25"/>
      <c r="H54" s="25"/>
      <c r="I54" s="68"/>
    </row>
    <row r="55" spans="1:9" x14ac:dyDescent="0.2">
      <c r="A55" s="25"/>
      <c r="B55" s="60"/>
      <c r="C55" s="25"/>
      <c r="D55" s="25"/>
      <c r="E55" s="25"/>
      <c r="F55" s="25"/>
      <c r="G55" s="25"/>
      <c r="H55" s="25"/>
      <c r="I55" s="68"/>
    </row>
  </sheetData>
  <mergeCells count="16">
    <mergeCell ref="A8:T8"/>
    <mergeCell ref="A22:T22"/>
    <mergeCell ref="A40:S40"/>
    <mergeCell ref="A38:I38"/>
    <mergeCell ref="A26:T26"/>
    <mergeCell ref="A29:T29"/>
    <mergeCell ref="A15:T15"/>
    <mergeCell ref="A9:T9"/>
    <mergeCell ref="N1:T1"/>
    <mergeCell ref="B5:H5"/>
    <mergeCell ref="J5:O5"/>
    <mergeCell ref="A2:S2"/>
    <mergeCell ref="A3:S3"/>
    <mergeCell ref="A5:A6"/>
    <mergeCell ref="I5:I6"/>
    <mergeCell ref="P5:T5"/>
  </mergeCells>
  <phoneticPr fontId="15" type="noConversion"/>
  <printOptions horizontalCentered="1"/>
  <pageMargins left="0.39370078740157483" right="0.39370078740157483" top="0.39370078740157483" bottom="0.39370078740157483" header="0" footer="0"/>
  <pageSetup paperSize="9" scale="36" fitToWidth="0" fitToHeight="0" orientation="landscape" r:id="rId1"/>
  <headerFooter alignWithMargins="0"/>
  <rowBreaks count="1" manualBreakCount="1">
    <brk id="14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50"/>
  </sheetPr>
  <dimension ref="A1:J267"/>
  <sheetViews>
    <sheetView view="pageBreakPreview" topLeftCell="A40" zoomScale="75" workbookViewId="0">
      <selection activeCell="E52" sqref="E52"/>
    </sheetView>
  </sheetViews>
  <sheetFormatPr defaultColWidth="9.140625" defaultRowHeight="12.75" x14ac:dyDescent="0.2"/>
  <cols>
    <col min="1" max="1" width="42.7109375" style="158" customWidth="1"/>
    <col min="2" max="2" width="9.28515625" style="158" customWidth="1"/>
    <col min="3" max="5" width="14.7109375" style="131" customWidth="1"/>
    <col min="6" max="6" width="15.7109375" style="131" customWidth="1"/>
    <col min="7" max="7" width="14.7109375" style="131" customWidth="1"/>
    <col min="8" max="8" width="13.42578125" style="131" customWidth="1"/>
    <col min="9" max="9" width="13.5703125" style="131" customWidth="1"/>
    <col min="10" max="10" width="14.7109375" style="131" customWidth="1"/>
    <col min="11" max="16384" width="9.140625" style="131"/>
  </cols>
  <sheetData>
    <row r="1" spans="1:10" ht="15.75" x14ac:dyDescent="0.25">
      <c r="A1" s="129"/>
      <c r="B1" s="129"/>
      <c r="C1" s="130"/>
      <c r="D1" s="130"/>
      <c r="E1" s="130"/>
      <c r="F1" s="465" t="s">
        <v>89</v>
      </c>
      <c r="G1" s="465"/>
      <c r="H1" s="465"/>
      <c r="I1" s="465"/>
      <c r="J1" s="240"/>
    </row>
    <row r="2" spans="1:10" ht="24.75" customHeight="1" x14ac:dyDescent="0.2">
      <c r="A2" s="438" t="s">
        <v>90</v>
      </c>
      <c r="B2" s="438"/>
      <c r="C2" s="438"/>
      <c r="D2" s="438"/>
      <c r="E2" s="438"/>
      <c r="F2" s="438"/>
      <c r="G2" s="438"/>
      <c r="H2" s="438"/>
      <c r="I2" s="438"/>
      <c r="J2" s="438"/>
    </row>
    <row r="3" spans="1:10" ht="14.25" customHeight="1" x14ac:dyDescent="0.2">
      <c r="A3" s="472" t="s">
        <v>91</v>
      </c>
      <c r="B3" s="472"/>
      <c r="C3" s="472"/>
      <c r="D3" s="472"/>
      <c r="E3" s="472"/>
      <c r="F3" s="472"/>
      <c r="G3" s="472"/>
      <c r="H3" s="472"/>
      <c r="I3" s="472"/>
      <c r="J3" s="472"/>
    </row>
    <row r="4" spans="1:10" ht="14.25" customHeight="1" x14ac:dyDescent="0.2">
      <c r="A4" s="132"/>
      <c r="B4" s="132"/>
      <c r="C4" s="132"/>
      <c r="D4" s="132"/>
      <c r="E4" s="132"/>
      <c r="F4" s="132"/>
      <c r="G4" s="132"/>
      <c r="H4" s="132"/>
    </row>
    <row r="5" spans="1:10" ht="7.5" customHeight="1" x14ac:dyDescent="0.25">
      <c r="A5" s="473" t="s">
        <v>92</v>
      </c>
      <c r="B5" s="473"/>
      <c r="C5" s="473"/>
      <c r="D5" s="473"/>
      <c r="E5" s="473"/>
      <c r="F5" s="473"/>
      <c r="G5" s="473"/>
      <c r="H5" s="473"/>
      <c r="I5" s="473"/>
      <c r="J5" s="473"/>
    </row>
    <row r="6" spans="1:10" ht="15.75" x14ac:dyDescent="0.2">
      <c r="A6" s="472" t="s">
        <v>93</v>
      </c>
      <c r="B6" s="472"/>
      <c r="C6" s="472"/>
      <c r="D6" s="472"/>
      <c r="E6" s="472"/>
      <c r="F6" s="472"/>
      <c r="G6" s="472"/>
      <c r="H6" s="472"/>
      <c r="I6" s="472"/>
      <c r="J6" s="472"/>
    </row>
    <row r="7" spans="1:10" ht="13.5" thickBot="1" x14ac:dyDescent="0.25">
      <c r="A7" s="471"/>
      <c r="B7" s="471"/>
      <c r="C7" s="471"/>
      <c r="D7" s="471"/>
      <c r="E7" s="471"/>
      <c r="F7" s="471"/>
      <c r="G7" s="471"/>
      <c r="H7" s="471"/>
    </row>
    <row r="8" spans="1:10" ht="18.75" customHeight="1" x14ac:dyDescent="0.2">
      <c r="A8" s="483" t="s">
        <v>94</v>
      </c>
      <c r="B8" s="451" t="s">
        <v>95</v>
      </c>
      <c r="C8" s="459" t="s">
        <v>277</v>
      </c>
      <c r="D8" s="459" t="s">
        <v>292</v>
      </c>
      <c r="E8" s="459" t="s">
        <v>293</v>
      </c>
      <c r="F8" s="454" t="s">
        <v>96</v>
      </c>
      <c r="G8" s="455"/>
      <c r="H8" s="455"/>
      <c r="I8" s="456"/>
    </row>
    <row r="9" spans="1:10" ht="18.75" customHeight="1" x14ac:dyDescent="0.2">
      <c r="A9" s="484"/>
      <c r="B9" s="452"/>
      <c r="C9" s="452"/>
      <c r="D9" s="452"/>
      <c r="E9" s="452"/>
      <c r="F9" s="463" t="s">
        <v>267</v>
      </c>
      <c r="G9" s="464"/>
      <c r="H9" s="457" t="s">
        <v>276</v>
      </c>
      <c r="I9" s="461" t="s">
        <v>287</v>
      </c>
    </row>
    <row r="10" spans="1:10" ht="59.25" customHeight="1" thickBot="1" x14ac:dyDescent="0.25">
      <c r="A10" s="485"/>
      <c r="B10" s="453"/>
      <c r="C10" s="460"/>
      <c r="D10" s="460"/>
      <c r="E10" s="460"/>
      <c r="F10" s="233" t="s">
        <v>270</v>
      </c>
      <c r="G10" s="234" t="s">
        <v>271</v>
      </c>
      <c r="H10" s="458"/>
      <c r="I10" s="462"/>
    </row>
    <row r="11" spans="1:10" ht="31.5" customHeight="1" x14ac:dyDescent="0.2">
      <c r="A11" s="134" t="s">
        <v>123</v>
      </c>
      <c r="B11" s="135" t="s">
        <v>13</v>
      </c>
      <c r="C11" s="136"/>
      <c r="D11" s="136"/>
      <c r="E11" s="136"/>
      <c r="F11" s="136"/>
      <c r="G11" s="137"/>
      <c r="H11" s="138"/>
      <c r="I11" s="137"/>
    </row>
    <row r="12" spans="1:10" ht="33" customHeight="1" x14ac:dyDescent="0.2">
      <c r="A12" s="139" t="s">
        <v>124</v>
      </c>
      <c r="B12" s="140" t="s">
        <v>13</v>
      </c>
      <c r="C12" s="141"/>
      <c r="D12" s="141"/>
      <c r="E12" s="141"/>
      <c r="F12" s="141"/>
      <c r="G12" s="142"/>
      <c r="H12" s="141"/>
      <c r="I12" s="142"/>
    </row>
    <row r="13" spans="1:10" ht="36.75" customHeight="1" x14ac:dyDescent="0.25">
      <c r="A13" s="139" t="s">
        <v>97</v>
      </c>
      <c r="B13" s="140" t="s">
        <v>98</v>
      </c>
      <c r="C13" s="143"/>
      <c r="D13" s="143"/>
      <c r="E13" s="143"/>
      <c r="F13" s="143"/>
      <c r="G13" s="144"/>
      <c r="H13" s="143"/>
      <c r="I13" s="144"/>
    </row>
    <row r="14" spans="1:10" ht="36" customHeight="1" x14ac:dyDescent="0.25">
      <c r="A14" s="139" t="s">
        <v>99</v>
      </c>
      <c r="B14" s="140" t="s">
        <v>98</v>
      </c>
      <c r="C14" s="143"/>
      <c r="D14" s="143"/>
      <c r="E14" s="143"/>
      <c r="F14" s="143"/>
      <c r="G14" s="144"/>
      <c r="H14" s="143"/>
      <c r="I14" s="144"/>
    </row>
    <row r="15" spans="1:10" ht="41.25" customHeight="1" x14ac:dyDescent="0.2">
      <c r="A15" s="139" t="s">
        <v>100</v>
      </c>
      <c r="B15" s="140" t="s">
        <v>98</v>
      </c>
      <c r="C15" s="141"/>
      <c r="D15" s="141"/>
      <c r="E15" s="141"/>
      <c r="F15" s="141"/>
      <c r="G15" s="142"/>
      <c r="H15" s="141"/>
      <c r="I15" s="142"/>
    </row>
    <row r="16" spans="1:10" ht="35.25" customHeight="1" x14ac:dyDescent="0.2">
      <c r="A16" s="145" t="s">
        <v>101</v>
      </c>
      <c r="B16" s="140" t="s">
        <v>13</v>
      </c>
      <c r="C16" s="141"/>
      <c r="D16" s="141"/>
      <c r="E16" s="141"/>
      <c r="F16" s="141"/>
      <c r="G16" s="142"/>
      <c r="H16" s="141"/>
      <c r="I16" s="142"/>
    </row>
    <row r="17" spans="1:9" ht="36.75" customHeight="1" x14ac:dyDescent="0.2">
      <c r="A17" s="139" t="s">
        <v>102</v>
      </c>
      <c r="B17" s="140" t="s">
        <v>98</v>
      </c>
      <c r="C17" s="141"/>
      <c r="D17" s="141"/>
      <c r="E17" s="141"/>
      <c r="F17" s="141"/>
      <c r="G17" s="142"/>
      <c r="H17" s="141"/>
      <c r="I17" s="142"/>
    </row>
    <row r="18" spans="1:9" ht="43.5" customHeight="1" x14ac:dyDescent="0.2">
      <c r="A18" s="139" t="s">
        <v>103</v>
      </c>
      <c r="B18" s="140" t="s">
        <v>98</v>
      </c>
      <c r="C18" s="141"/>
      <c r="D18" s="141"/>
      <c r="E18" s="141"/>
      <c r="F18" s="141"/>
      <c r="G18" s="142"/>
      <c r="H18" s="141"/>
      <c r="I18" s="142"/>
    </row>
    <row r="19" spans="1:9" ht="34.5" customHeight="1" x14ac:dyDescent="0.2">
      <c r="A19" s="139" t="s">
        <v>104</v>
      </c>
      <c r="B19" s="140" t="s">
        <v>14</v>
      </c>
      <c r="C19" s="141"/>
      <c r="D19" s="141"/>
      <c r="E19" s="141"/>
      <c r="F19" s="141"/>
      <c r="G19" s="142"/>
      <c r="H19" s="141"/>
      <c r="I19" s="142"/>
    </row>
    <row r="20" spans="1:9" ht="30.75" customHeight="1" x14ac:dyDescent="0.2">
      <c r="A20" s="139" t="s">
        <v>105</v>
      </c>
      <c r="B20" s="140"/>
      <c r="C20" s="141"/>
      <c r="D20" s="141"/>
      <c r="E20" s="141"/>
      <c r="F20" s="141"/>
      <c r="G20" s="142"/>
      <c r="H20" s="141"/>
      <c r="I20" s="142"/>
    </row>
    <row r="21" spans="1:9" ht="15.75" x14ac:dyDescent="0.2">
      <c r="A21" s="145" t="s">
        <v>106</v>
      </c>
      <c r="B21" s="140" t="s">
        <v>13</v>
      </c>
      <c r="C21" s="141"/>
      <c r="D21" s="141"/>
      <c r="E21" s="141"/>
      <c r="F21" s="141"/>
      <c r="G21" s="142"/>
      <c r="H21" s="141"/>
      <c r="I21" s="142"/>
    </row>
    <row r="22" spans="1:9" ht="15.75" x14ac:dyDescent="0.2">
      <c r="A22" s="145" t="s">
        <v>107</v>
      </c>
      <c r="B22" s="140" t="s">
        <v>13</v>
      </c>
      <c r="C22" s="141"/>
      <c r="D22" s="141"/>
      <c r="E22" s="141"/>
      <c r="F22" s="141"/>
      <c r="G22" s="142"/>
      <c r="H22" s="141"/>
      <c r="I22" s="142"/>
    </row>
    <row r="23" spans="1:9" ht="15.75" x14ac:dyDescent="0.2">
      <c r="A23" s="145" t="s">
        <v>108</v>
      </c>
      <c r="B23" s="140" t="s">
        <v>13</v>
      </c>
      <c r="C23" s="141"/>
      <c r="D23" s="141"/>
      <c r="E23" s="141"/>
      <c r="F23" s="141"/>
      <c r="G23" s="142"/>
      <c r="H23" s="141"/>
      <c r="I23" s="142"/>
    </row>
    <row r="24" spans="1:9" ht="15.75" x14ac:dyDescent="0.2">
      <c r="A24" s="145" t="s">
        <v>109</v>
      </c>
      <c r="B24" s="140" t="s">
        <v>13</v>
      </c>
      <c r="C24" s="141"/>
      <c r="D24" s="141"/>
      <c r="E24" s="141"/>
      <c r="F24" s="141"/>
      <c r="G24" s="142"/>
      <c r="H24" s="141"/>
      <c r="I24" s="142"/>
    </row>
    <row r="25" spans="1:9" ht="34.5" customHeight="1" x14ac:dyDescent="0.2">
      <c r="A25" s="139" t="s">
        <v>110</v>
      </c>
      <c r="B25" s="140"/>
      <c r="C25" s="141"/>
      <c r="D25" s="141"/>
      <c r="E25" s="141"/>
      <c r="F25" s="141"/>
      <c r="G25" s="142"/>
      <c r="H25" s="141"/>
      <c r="I25" s="142"/>
    </row>
    <row r="26" spans="1:9" ht="31.5" x14ac:dyDescent="0.2">
      <c r="A26" s="146" t="s">
        <v>111</v>
      </c>
      <c r="B26" s="140" t="s">
        <v>98</v>
      </c>
      <c r="C26" s="141"/>
      <c r="D26" s="141"/>
      <c r="E26" s="141"/>
      <c r="F26" s="141"/>
      <c r="G26" s="142"/>
      <c r="H26" s="141"/>
      <c r="I26" s="142"/>
    </row>
    <row r="27" spans="1:9" ht="31.5" x14ac:dyDescent="0.2">
      <c r="A27" s="146" t="s">
        <v>112</v>
      </c>
      <c r="B27" s="140" t="s">
        <v>98</v>
      </c>
      <c r="C27" s="141"/>
      <c r="D27" s="141"/>
      <c r="E27" s="141"/>
      <c r="F27" s="141"/>
      <c r="G27" s="142"/>
      <c r="H27" s="141"/>
      <c r="I27" s="142"/>
    </row>
    <row r="28" spans="1:9" ht="31.5" x14ac:dyDescent="0.2">
      <c r="A28" s="145" t="s">
        <v>113</v>
      </c>
      <c r="B28" s="140" t="s">
        <v>98</v>
      </c>
      <c r="C28" s="141"/>
      <c r="D28" s="141"/>
      <c r="E28" s="141"/>
      <c r="F28" s="141"/>
      <c r="G28" s="142"/>
      <c r="H28" s="141"/>
      <c r="I28" s="142"/>
    </row>
    <row r="29" spans="1:9" ht="31.5" x14ac:dyDescent="0.2">
      <c r="A29" s="146" t="s">
        <v>111</v>
      </c>
      <c r="B29" s="140" t="s">
        <v>98</v>
      </c>
      <c r="C29" s="141"/>
      <c r="D29" s="141"/>
      <c r="E29" s="141"/>
      <c r="F29" s="141"/>
      <c r="G29" s="142"/>
      <c r="H29" s="141"/>
      <c r="I29" s="142"/>
    </row>
    <row r="30" spans="1:9" ht="31.5" x14ac:dyDescent="0.2">
      <c r="A30" s="146" t="s">
        <v>112</v>
      </c>
      <c r="B30" s="140" t="s">
        <v>98</v>
      </c>
      <c r="C30" s="141"/>
      <c r="D30" s="141"/>
      <c r="E30" s="141"/>
      <c r="F30" s="141"/>
      <c r="G30" s="142"/>
      <c r="H30" s="141"/>
      <c r="I30" s="142"/>
    </row>
    <row r="31" spans="1:9" ht="33" customHeight="1" x14ac:dyDescent="0.2">
      <c r="A31" s="139" t="s">
        <v>114</v>
      </c>
      <c r="B31" s="140" t="s">
        <v>98</v>
      </c>
      <c r="C31" s="141"/>
      <c r="D31" s="141"/>
      <c r="E31" s="141"/>
      <c r="F31" s="141"/>
      <c r="G31" s="142"/>
      <c r="H31" s="141"/>
      <c r="I31" s="142"/>
    </row>
    <row r="32" spans="1:9" ht="15.75" x14ac:dyDescent="0.2">
      <c r="A32" s="145" t="s">
        <v>115</v>
      </c>
      <c r="B32" s="140"/>
      <c r="C32" s="141"/>
      <c r="D32" s="141"/>
      <c r="E32" s="141"/>
      <c r="F32" s="141"/>
      <c r="G32" s="142"/>
      <c r="H32" s="141"/>
      <c r="I32" s="142"/>
    </row>
    <row r="33" spans="1:10" ht="31.5" x14ac:dyDescent="0.2">
      <c r="A33" s="146" t="s">
        <v>0</v>
      </c>
      <c r="B33" s="140" t="s">
        <v>98</v>
      </c>
      <c r="C33" s="141"/>
      <c r="D33" s="141"/>
      <c r="E33" s="141"/>
      <c r="F33" s="141"/>
      <c r="G33" s="142"/>
      <c r="H33" s="141"/>
      <c r="I33" s="142"/>
    </row>
    <row r="34" spans="1:10" ht="31.5" x14ac:dyDescent="0.2">
      <c r="A34" s="146" t="s">
        <v>1</v>
      </c>
      <c r="B34" s="140" t="s">
        <v>98</v>
      </c>
      <c r="C34" s="141"/>
      <c r="D34" s="141"/>
      <c r="E34" s="141"/>
      <c r="F34" s="141"/>
      <c r="G34" s="142"/>
      <c r="H34" s="141"/>
      <c r="I34" s="142"/>
    </row>
    <row r="35" spans="1:10" ht="31.5" x14ac:dyDescent="0.2">
      <c r="A35" s="146" t="s">
        <v>116</v>
      </c>
      <c r="B35" s="140" t="s">
        <v>98</v>
      </c>
      <c r="C35" s="141"/>
      <c r="D35" s="141"/>
      <c r="E35" s="141"/>
      <c r="F35" s="141"/>
      <c r="G35" s="142"/>
      <c r="H35" s="141"/>
      <c r="I35" s="142"/>
    </row>
    <row r="36" spans="1:10" ht="32.25" customHeight="1" x14ac:dyDescent="0.25">
      <c r="A36" s="139" t="s">
        <v>117</v>
      </c>
      <c r="B36" s="140" t="s">
        <v>118</v>
      </c>
      <c r="C36" s="143"/>
      <c r="D36" s="143"/>
      <c r="E36" s="143"/>
      <c r="F36" s="143"/>
      <c r="G36" s="144"/>
      <c r="H36" s="143"/>
      <c r="I36" s="144"/>
    </row>
    <row r="37" spans="1:10" ht="32.25" customHeight="1" x14ac:dyDescent="0.25">
      <c r="A37" s="139" t="s">
        <v>125</v>
      </c>
      <c r="B37" s="140" t="s">
        <v>25</v>
      </c>
      <c r="C37" s="143"/>
      <c r="D37" s="143"/>
      <c r="E37" s="143"/>
      <c r="F37" s="143"/>
      <c r="G37" s="144"/>
      <c r="H37" s="143"/>
      <c r="I37" s="144"/>
    </row>
    <row r="38" spans="1:10" ht="34.5" customHeight="1" x14ac:dyDescent="0.25">
      <c r="A38" s="139" t="s">
        <v>30</v>
      </c>
      <c r="B38" s="140" t="s">
        <v>98</v>
      </c>
      <c r="C38" s="143"/>
      <c r="D38" s="143"/>
      <c r="E38" s="143"/>
      <c r="F38" s="143"/>
      <c r="G38" s="144"/>
      <c r="H38" s="143"/>
      <c r="I38" s="144"/>
    </row>
    <row r="39" spans="1:10" ht="34.5" customHeight="1" thickBot="1" x14ac:dyDescent="0.3">
      <c r="A39" s="147" t="s">
        <v>119</v>
      </c>
      <c r="B39" s="148" t="s">
        <v>98</v>
      </c>
      <c r="C39" s="149"/>
      <c r="D39" s="149"/>
      <c r="E39" s="149"/>
      <c r="F39" s="149"/>
      <c r="G39" s="150"/>
      <c r="H39" s="149"/>
      <c r="I39" s="150"/>
    </row>
    <row r="40" spans="1:10" ht="13.5" customHeight="1" x14ac:dyDescent="0.25">
      <c r="A40" s="151"/>
      <c r="B40" s="132"/>
      <c r="C40" s="152"/>
      <c r="D40" s="152"/>
      <c r="E40" s="152"/>
      <c r="F40" s="152"/>
      <c r="G40" s="152"/>
      <c r="H40" s="152"/>
      <c r="I40" s="152"/>
      <c r="J40" s="152"/>
    </row>
    <row r="41" spans="1:10" ht="19.5" customHeight="1" thickBot="1" x14ac:dyDescent="0.3">
      <c r="A41" s="153"/>
      <c r="B41" s="154"/>
      <c r="C41" s="130"/>
      <c r="D41" s="130"/>
      <c r="E41" s="130"/>
      <c r="F41" s="130"/>
      <c r="G41" s="130"/>
      <c r="H41" s="130"/>
      <c r="I41" s="130"/>
      <c r="J41" s="130"/>
    </row>
    <row r="42" spans="1:10" ht="15.75" customHeight="1" x14ac:dyDescent="0.2">
      <c r="A42" s="474" t="s">
        <v>120</v>
      </c>
      <c r="B42" s="477" t="s">
        <v>95</v>
      </c>
      <c r="C42" s="468" t="str">
        <f>C8</f>
        <v>факт 2022</v>
      </c>
      <c r="D42" s="468" t="str">
        <f>D8</f>
        <v>факт 2023</v>
      </c>
      <c r="E42" s="468" t="str">
        <f>E8</f>
        <v>оценка 2024</v>
      </c>
      <c r="F42" s="466" t="s">
        <v>96</v>
      </c>
      <c r="G42" s="450"/>
      <c r="H42" s="450"/>
      <c r="I42" s="467"/>
    </row>
    <row r="43" spans="1:10" ht="15.75" customHeight="1" x14ac:dyDescent="0.2">
      <c r="A43" s="475"/>
      <c r="B43" s="469"/>
      <c r="C43" s="469"/>
      <c r="D43" s="469"/>
      <c r="E43" s="469"/>
      <c r="F43" s="481" t="str">
        <f>F9</f>
        <v>2025 год</v>
      </c>
      <c r="G43" s="482"/>
      <c r="H43" s="479" t="str">
        <f>H9</f>
        <v>2026 год</v>
      </c>
      <c r="I43" s="480" t="str">
        <f>I9</f>
        <v>2027 год</v>
      </c>
    </row>
    <row r="44" spans="1:10" ht="50.25" customHeight="1" thickBot="1" x14ac:dyDescent="0.25">
      <c r="A44" s="476"/>
      <c r="B44" s="478"/>
      <c r="C44" s="470"/>
      <c r="D44" s="470"/>
      <c r="E44" s="470"/>
      <c r="F44" s="207" t="str">
        <f>F10</f>
        <v xml:space="preserve">1 вариант (КОНСЕРВАТИВНЫЙ) </v>
      </c>
      <c r="G44" s="133" t="str">
        <f>G10</f>
        <v xml:space="preserve">2 вариант (БАЗОВЫЙ) </v>
      </c>
      <c r="H44" s="442"/>
      <c r="I44" s="448"/>
    </row>
    <row r="45" spans="1:10" ht="31.5" x14ac:dyDescent="0.25">
      <c r="A45" s="169"/>
      <c r="B45" s="135" t="s">
        <v>121</v>
      </c>
      <c r="C45" s="155"/>
      <c r="D45" s="155"/>
      <c r="E45" s="155"/>
      <c r="F45" s="155"/>
      <c r="G45" s="156"/>
      <c r="H45" s="155"/>
      <c r="I45" s="170"/>
    </row>
    <row r="46" spans="1:10" ht="22.5" customHeight="1" thickBot="1" x14ac:dyDescent="0.3">
      <c r="A46" s="171"/>
      <c r="B46" s="172"/>
      <c r="C46" s="149"/>
      <c r="D46" s="149"/>
      <c r="E46" s="149"/>
      <c r="F46" s="149"/>
      <c r="G46" s="150"/>
      <c r="H46" s="149"/>
      <c r="I46" s="173"/>
    </row>
    <row r="47" spans="1:10" s="168" customFormat="1" ht="22.5" customHeight="1" x14ac:dyDescent="0.25">
      <c r="A47" s="165"/>
      <c r="B47" s="165"/>
      <c r="C47" s="152"/>
      <c r="D47" s="152"/>
      <c r="E47" s="152"/>
      <c r="F47" s="152"/>
      <c r="G47" s="152"/>
      <c r="H47" s="152"/>
      <c r="I47" s="152"/>
      <c r="J47" s="152"/>
    </row>
    <row r="48" spans="1:10" s="168" customFormat="1" ht="22.5" customHeight="1" thickBot="1" x14ac:dyDescent="0.25">
      <c r="A48" s="438" t="s">
        <v>294</v>
      </c>
      <c r="B48" s="438"/>
      <c r="C48" s="438"/>
      <c r="D48" s="438"/>
      <c r="E48" s="438"/>
      <c r="F48" s="438"/>
      <c r="G48" s="438"/>
      <c r="H48" s="438"/>
      <c r="I48" s="438"/>
      <c r="J48" s="438"/>
    </row>
    <row r="49" spans="1:10" s="168" customFormat="1" ht="63.75" customHeight="1" x14ac:dyDescent="0.2">
      <c r="A49" s="439" t="s">
        <v>167</v>
      </c>
      <c r="B49" s="445" t="s">
        <v>141</v>
      </c>
      <c r="C49" s="446"/>
      <c r="D49" s="441" t="s">
        <v>142</v>
      </c>
      <c r="E49" s="441" t="s">
        <v>143</v>
      </c>
      <c r="F49" s="449" t="s">
        <v>146</v>
      </c>
      <c r="G49" s="450"/>
      <c r="H49" s="441" t="s">
        <v>147</v>
      </c>
      <c r="I49" s="443" t="s">
        <v>127</v>
      </c>
    </row>
    <row r="50" spans="1:10" s="168" customFormat="1" ht="36.75" customHeight="1" thickBot="1" x14ac:dyDescent="0.25">
      <c r="A50" s="440"/>
      <c r="B50" s="447"/>
      <c r="C50" s="448"/>
      <c r="D50" s="442"/>
      <c r="E50" s="442"/>
      <c r="F50" s="181" t="s">
        <v>144</v>
      </c>
      <c r="G50" s="181" t="s">
        <v>145</v>
      </c>
      <c r="H50" s="442"/>
      <c r="I50" s="444"/>
    </row>
    <row r="51" spans="1:10" s="168" customFormat="1" ht="36.75" customHeight="1" x14ac:dyDescent="0.25">
      <c r="A51" s="437" t="s">
        <v>133</v>
      </c>
      <c r="B51" s="435" t="s">
        <v>295</v>
      </c>
      <c r="C51" s="436"/>
      <c r="D51" s="196"/>
      <c r="E51" s="196"/>
      <c r="F51" s="196"/>
      <c r="G51" s="196"/>
      <c r="H51" s="196"/>
      <c r="I51" s="197"/>
    </row>
    <row r="52" spans="1:10" s="168" customFormat="1" ht="22.5" customHeight="1" x14ac:dyDescent="0.25">
      <c r="A52" s="433"/>
      <c r="B52" s="429">
        <v>2025</v>
      </c>
      <c r="C52" s="429">
        <v>2013</v>
      </c>
      <c r="D52" s="179"/>
      <c r="E52" s="179"/>
      <c r="F52" s="179"/>
      <c r="G52" s="179"/>
      <c r="H52" s="179"/>
      <c r="I52" s="180"/>
    </row>
    <row r="53" spans="1:10" s="168" customFormat="1" ht="22.5" customHeight="1" x14ac:dyDescent="0.25">
      <c r="A53" s="433"/>
      <c r="B53" s="429">
        <v>2026</v>
      </c>
      <c r="C53" s="429">
        <v>2013</v>
      </c>
      <c r="D53" s="174"/>
      <c r="E53" s="174"/>
      <c r="F53" s="174"/>
      <c r="G53" s="174"/>
      <c r="H53" s="174"/>
      <c r="I53" s="175"/>
    </row>
    <row r="54" spans="1:10" s="168" customFormat="1" ht="22.5" customHeight="1" x14ac:dyDescent="0.25">
      <c r="A54" s="433"/>
      <c r="B54" s="429">
        <v>2027</v>
      </c>
      <c r="C54" s="429">
        <v>2013</v>
      </c>
      <c r="D54" s="174"/>
      <c r="E54" s="174"/>
      <c r="F54" s="174"/>
      <c r="G54" s="174"/>
      <c r="H54" s="174"/>
      <c r="I54" s="175"/>
    </row>
    <row r="55" spans="1:10" s="168" customFormat="1" ht="22.5" customHeight="1" thickBot="1" x14ac:dyDescent="0.3">
      <c r="A55" s="434"/>
      <c r="B55" s="429"/>
      <c r="C55" s="429"/>
      <c r="D55" s="174"/>
      <c r="E55" s="174"/>
      <c r="F55" s="174"/>
      <c r="G55" s="174"/>
      <c r="H55" s="174"/>
      <c r="I55" s="175"/>
    </row>
    <row r="56" spans="1:10" s="168" customFormat="1" ht="33" customHeight="1" x14ac:dyDescent="0.25">
      <c r="A56" s="432" t="s">
        <v>148</v>
      </c>
      <c r="B56" s="435" t="s">
        <v>295</v>
      </c>
      <c r="C56" s="436"/>
      <c r="D56" s="174"/>
      <c r="E56" s="174"/>
      <c r="F56" s="174"/>
      <c r="G56" s="174"/>
      <c r="H56" s="174"/>
      <c r="I56" s="175"/>
    </row>
    <row r="57" spans="1:10" s="168" customFormat="1" ht="22.5" customHeight="1" x14ac:dyDescent="0.25">
      <c r="A57" s="433"/>
      <c r="B57" s="429">
        <v>2025</v>
      </c>
      <c r="C57" s="429">
        <v>2013</v>
      </c>
      <c r="D57" s="174"/>
      <c r="E57" s="174"/>
      <c r="F57" s="174"/>
      <c r="G57" s="174"/>
      <c r="H57" s="174"/>
      <c r="I57" s="175"/>
    </row>
    <row r="58" spans="1:10" s="168" customFormat="1" ht="22.5" customHeight="1" x14ac:dyDescent="0.25">
      <c r="A58" s="433"/>
      <c r="B58" s="429">
        <v>2026</v>
      </c>
      <c r="C58" s="429">
        <v>2013</v>
      </c>
      <c r="D58" s="174"/>
      <c r="E58" s="174"/>
      <c r="F58" s="174"/>
      <c r="G58" s="174"/>
      <c r="H58" s="174"/>
      <c r="I58" s="175"/>
    </row>
    <row r="59" spans="1:10" s="168" customFormat="1" ht="22.5" customHeight="1" x14ac:dyDescent="0.25">
      <c r="A59" s="433"/>
      <c r="B59" s="429">
        <v>2027</v>
      </c>
      <c r="C59" s="429">
        <v>2013</v>
      </c>
      <c r="D59" s="174"/>
      <c r="E59" s="174"/>
      <c r="F59" s="174"/>
      <c r="G59" s="174"/>
      <c r="H59" s="174"/>
      <c r="I59" s="175"/>
    </row>
    <row r="60" spans="1:10" s="168" customFormat="1" ht="22.5" customHeight="1" x14ac:dyDescent="0.25">
      <c r="A60" s="434"/>
      <c r="B60" s="429"/>
      <c r="C60" s="429"/>
      <c r="D60" s="174"/>
      <c r="E60" s="174"/>
      <c r="F60" s="174"/>
      <c r="G60" s="174"/>
      <c r="H60" s="174"/>
      <c r="I60" s="175"/>
    </row>
    <row r="61" spans="1:10" s="168" customFormat="1" ht="22.5" customHeight="1" thickBot="1" x14ac:dyDescent="0.3">
      <c r="A61" s="176" t="s">
        <v>149</v>
      </c>
      <c r="B61" s="430"/>
      <c r="C61" s="431"/>
      <c r="D61" s="177"/>
      <c r="E61" s="177"/>
      <c r="F61" s="177"/>
      <c r="G61" s="177"/>
      <c r="H61" s="177"/>
      <c r="I61" s="178"/>
    </row>
    <row r="62" spans="1:10" s="168" customFormat="1" ht="22.5" customHeight="1" x14ac:dyDescent="0.25">
      <c r="A62" s="165"/>
      <c r="B62" s="165"/>
      <c r="C62" s="152"/>
      <c r="D62" s="152"/>
      <c r="E62" s="152"/>
      <c r="F62" s="152"/>
      <c r="G62" s="152"/>
      <c r="H62" s="152"/>
      <c r="I62" s="152"/>
      <c r="J62" s="152"/>
    </row>
    <row r="63" spans="1:10" s="168" customFormat="1" ht="22.5" customHeight="1" x14ac:dyDescent="0.25">
      <c r="A63" s="165"/>
      <c r="B63" s="165"/>
      <c r="C63" s="152"/>
      <c r="D63" s="152"/>
      <c r="E63" s="152"/>
      <c r="F63" s="152"/>
      <c r="G63" s="152"/>
      <c r="H63" s="152"/>
      <c r="I63" s="152"/>
      <c r="J63" s="152"/>
    </row>
    <row r="64" spans="1:10" s="168" customFormat="1" ht="22.5" customHeight="1" x14ac:dyDescent="0.25">
      <c r="A64" s="165"/>
      <c r="B64" s="165"/>
      <c r="C64" s="152"/>
      <c r="D64" s="152"/>
      <c r="E64" s="152"/>
      <c r="F64" s="152"/>
      <c r="G64" s="152"/>
      <c r="H64" s="152"/>
      <c r="I64" s="152"/>
      <c r="J64" s="152"/>
    </row>
    <row r="65" spans="1:10" s="168" customFormat="1" ht="22.5" customHeight="1" x14ac:dyDescent="0.25">
      <c r="A65" s="165"/>
      <c r="B65" s="165"/>
      <c r="C65" s="152"/>
      <c r="D65" s="152"/>
      <c r="E65" s="152"/>
      <c r="F65" s="152"/>
      <c r="G65" s="152"/>
      <c r="H65" s="152"/>
      <c r="I65" s="152"/>
      <c r="J65" s="152"/>
    </row>
    <row r="66" spans="1:10" ht="27" customHeight="1" x14ac:dyDescent="0.25">
      <c r="A66" s="154" t="s">
        <v>122</v>
      </c>
      <c r="B66" s="166"/>
      <c r="C66" s="167"/>
      <c r="D66" s="167"/>
      <c r="E66" s="167"/>
      <c r="F66" s="167"/>
      <c r="G66" s="167"/>
      <c r="H66" s="167"/>
    </row>
    <row r="67" spans="1:10" ht="7.5" customHeight="1" x14ac:dyDescent="0.2">
      <c r="A67" s="157"/>
      <c r="B67" s="157"/>
    </row>
    <row r="68" spans="1:10" x14ac:dyDescent="0.2">
      <c r="A68" s="157"/>
      <c r="B68" s="157"/>
    </row>
    <row r="69" spans="1:10" x14ac:dyDescent="0.2">
      <c r="A69" s="157"/>
      <c r="B69" s="157"/>
    </row>
    <row r="70" spans="1:10" x14ac:dyDescent="0.2">
      <c r="A70" s="157"/>
      <c r="B70" s="157"/>
    </row>
    <row r="71" spans="1:10" x14ac:dyDescent="0.2">
      <c r="A71" s="157"/>
      <c r="B71" s="157"/>
    </row>
    <row r="72" spans="1:10" x14ac:dyDescent="0.2">
      <c r="A72" s="157"/>
      <c r="B72" s="157"/>
    </row>
    <row r="73" spans="1:10" x14ac:dyDescent="0.2">
      <c r="A73" s="157"/>
      <c r="B73" s="157"/>
    </row>
    <row r="74" spans="1:10" x14ac:dyDescent="0.2">
      <c r="A74" s="157"/>
      <c r="B74" s="157"/>
    </row>
    <row r="75" spans="1:10" x14ac:dyDescent="0.2">
      <c r="A75" s="157"/>
      <c r="B75" s="157"/>
    </row>
    <row r="76" spans="1:10" x14ac:dyDescent="0.2">
      <c r="A76" s="157"/>
      <c r="B76" s="157"/>
    </row>
    <row r="77" spans="1:10" x14ac:dyDescent="0.2">
      <c r="A77" s="157"/>
      <c r="B77" s="157"/>
    </row>
    <row r="78" spans="1:10" x14ac:dyDescent="0.2">
      <c r="A78" s="157"/>
      <c r="B78" s="157"/>
    </row>
    <row r="79" spans="1:10" x14ac:dyDescent="0.2">
      <c r="A79" s="157"/>
      <c r="B79" s="157"/>
    </row>
    <row r="80" spans="1:10" x14ac:dyDescent="0.2">
      <c r="A80" s="157"/>
      <c r="B80" s="157"/>
    </row>
    <row r="81" spans="1:2" x14ac:dyDescent="0.2">
      <c r="A81" s="157"/>
      <c r="B81" s="157"/>
    </row>
    <row r="82" spans="1:2" x14ac:dyDescent="0.2">
      <c r="A82" s="157"/>
      <c r="B82" s="157"/>
    </row>
    <row r="83" spans="1:2" x14ac:dyDescent="0.2">
      <c r="A83" s="157"/>
      <c r="B83" s="157"/>
    </row>
    <row r="84" spans="1:2" x14ac:dyDescent="0.2">
      <c r="A84" s="157"/>
      <c r="B84" s="157"/>
    </row>
    <row r="85" spans="1:2" x14ac:dyDescent="0.2">
      <c r="A85" s="157"/>
      <c r="B85" s="157"/>
    </row>
    <row r="86" spans="1:2" x14ac:dyDescent="0.2">
      <c r="A86" s="157"/>
      <c r="B86" s="157"/>
    </row>
    <row r="87" spans="1:2" x14ac:dyDescent="0.2">
      <c r="A87" s="157"/>
      <c r="B87" s="157"/>
    </row>
    <row r="88" spans="1:2" x14ac:dyDescent="0.2">
      <c r="A88" s="157"/>
      <c r="B88" s="157"/>
    </row>
    <row r="89" spans="1:2" x14ac:dyDescent="0.2">
      <c r="A89" s="157"/>
      <c r="B89" s="157"/>
    </row>
    <row r="90" spans="1:2" x14ac:dyDescent="0.2">
      <c r="A90" s="157"/>
      <c r="B90" s="157"/>
    </row>
    <row r="91" spans="1:2" x14ac:dyDescent="0.2">
      <c r="A91" s="157"/>
      <c r="B91" s="157"/>
    </row>
    <row r="92" spans="1:2" x14ac:dyDescent="0.2">
      <c r="A92" s="157"/>
      <c r="B92" s="157"/>
    </row>
    <row r="93" spans="1:2" x14ac:dyDescent="0.2">
      <c r="A93" s="157"/>
      <c r="B93" s="157"/>
    </row>
    <row r="94" spans="1:2" x14ac:dyDescent="0.2">
      <c r="A94" s="157"/>
      <c r="B94" s="157"/>
    </row>
    <row r="95" spans="1:2" x14ac:dyDescent="0.2">
      <c r="A95" s="157"/>
      <c r="B95" s="157"/>
    </row>
    <row r="96" spans="1:2" x14ac:dyDescent="0.2">
      <c r="A96" s="157"/>
      <c r="B96" s="157"/>
    </row>
    <row r="97" spans="1:2" x14ac:dyDescent="0.2">
      <c r="A97" s="157"/>
      <c r="B97" s="157"/>
    </row>
    <row r="98" spans="1:2" x14ac:dyDescent="0.2">
      <c r="A98" s="157"/>
      <c r="B98" s="157"/>
    </row>
    <row r="99" spans="1:2" x14ac:dyDescent="0.2">
      <c r="A99" s="157"/>
      <c r="B99" s="157"/>
    </row>
    <row r="100" spans="1:2" x14ac:dyDescent="0.2">
      <c r="A100" s="157"/>
      <c r="B100" s="157"/>
    </row>
    <row r="101" spans="1:2" x14ac:dyDescent="0.2">
      <c r="A101" s="157"/>
      <c r="B101" s="157"/>
    </row>
    <row r="102" spans="1:2" x14ac:dyDescent="0.2">
      <c r="A102" s="157"/>
      <c r="B102" s="157"/>
    </row>
    <row r="103" spans="1:2" x14ac:dyDescent="0.2">
      <c r="A103" s="157"/>
      <c r="B103" s="157"/>
    </row>
    <row r="104" spans="1:2" x14ac:dyDescent="0.2">
      <c r="A104" s="157"/>
      <c r="B104" s="157"/>
    </row>
    <row r="105" spans="1:2" x14ac:dyDescent="0.2">
      <c r="A105" s="157"/>
      <c r="B105" s="157"/>
    </row>
    <row r="106" spans="1:2" x14ac:dyDescent="0.2">
      <c r="A106" s="157"/>
      <c r="B106" s="157"/>
    </row>
    <row r="107" spans="1:2" x14ac:dyDescent="0.2">
      <c r="A107" s="157"/>
      <c r="B107" s="157"/>
    </row>
    <row r="108" spans="1:2" x14ac:dyDescent="0.2">
      <c r="A108" s="157"/>
      <c r="B108" s="157"/>
    </row>
    <row r="109" spans="1:2" x14ac:dyDescent="0.2">
      <c r="A109" s="157"/>
      <c r="B109" s="157"/>
    </row>
    <row r="110" spans="1:2" x14ac:dyDescent="0.2">
      <c r="A110" s="157"/>
      <c r="B110" s="157"/>
    </row>
    <row r="111" spans="1:2" x14ac:dyDescent="0.2">
      <c r="A111" s="157"/>
      <c r="B111" s="157"/>
    </row>
    <row r="112" spans="1:2" x14ac:dyDescent="0.2">
      <c r="A112" s="157"/>
      <c r="B112" s="157"/>
    </row>
    <row r="113" spans="1:2" x14ac:dyDescent="0.2">
      <c r="A113" s="157"/>
      <c r="B113" s="157"/>
    </row>
    <row r="114" spans="1:2" x14ac:dyDescent="0.2">
      <c r="A114" s="157"/>
      <c r="B114" s="157"/>
    </row>
    <row r="115" spans="1:2" x14ac:dyDescent="0.2">
      <c r="A115" s="157"/>
      <c r="B115" s="157"/>
    </row>
    <row r="116" spans="1:2" x14ac:dyDescent="0.2">
      <c r="A116" s="157"/>
      <c r="B116" s="157"/>
    </row>
    <row r="117" spans="1:2" x14ac:dyDescent="0.2">
      <c r="A117" s="157"/>
      <c r="B117" s="157"/>
    </row>
    <row r="118" spans="1:2" x14ac:dyDescent="0.2">
      <c r="A118" s="157"/>
      <c r="B118" s="157"/>
    </row>
    <row r="119" spans="1:2" x14ac:dyDescent="0.2">
      <c r="A119" s="157"/>
      <c r="B119" s="157"/>
    </row>
    <row r="120" spans="1:2" x14ac:dyDescent="0.2">
      <c r="A120" s="157"/>
      <c r="B120" s="157"/>
    </row>
    <row r="121" spans="1:2" x14ac:dyDescent="0.2">
      <c r="A121" s="157"/>
      <c r="B121" s="157"/>
    </row>
    <row r="122" spans="1:2" x14ac:dyDescent="0.2">
      <c r="A122" s="157"/>
      <c r="B122" s="157"/>
    </row>
    <row r="123" spans="1:2" x14ac:dyDescent="0.2">
      <c r="A123" s="157"/>
      <c r="B123" s="157"/>
    </row>
    <row r="124" spans="1:2" x14ac:dyDescent="0.2">
      <c r="A124" s="157"/>
      <c r="B124" s="157"/>
    </row>
    <row r="125" spans="1:2" x14ac:dyDescent="0.2">
      <c r="A125" s="157"/>
      <c r="B125" s="157"/>
    </row>
    <row r="126" spans="1:2" x14ac:dyDescent="0.2">
      <c r="A126" s="157"/>
      <c r="B126" s="157"/>
    </row>
    <row r="127" spans="1:2" x14ac:dyDescent="0.2">
      <c r="A127" s="157"/>
      <c r="B127" s="157"/>
    </row>
    <row r="128" spans="1:2" x14ac:dyDescent="0.2">
      <c r="A128" s="157"/>
      <c r="B128" s="157"/>
    </row>
    <row r="129" spans="1:2" x14ac:dyDescent="0.2">
      <c r="A129" s="157"/>
      <c r="B129" s="157"/>
    </row>
    <row r="130" spans="1:2" x14ac:dyDescent="0.2">
      <c r="A130" s="157"/>
      <c r="B130" s="157"/>
    </row>
    <row r="131" spans="1:2" x14ac:dyDescent="0.2">
      <c r="A131" s="157"/>
      <c r="B131" s="157"/>
    </row>
    <row r="132" spans="1:2" x14ac:dyDescent="0.2">
      <c r="A132" s="157"/>
      <c r="B132" s="157"/>
    </row>
    <row r="133" spans="1:2" x14ac:dyDescent="0.2">
      <c r="A133" s="157"/>
      <c r="B133" s="157"/>
    </row>
    <row r="134" spans="1:2" x14ac:dyDescent="0.2">
      <c r="A134" s="157"/>
      <c r="B134" s="157"/>
    </row>
    <row r="135" spans="1:2" x14ac:dyDescent="0.2">
      <c r="A135" s="157"/>
      <c r="B135" s="157"/>
    </row>
    <row r="136" spans="1:2" x14ac:dyDescent="0.2">
      <c r="A136" s="157"/>
      <c r="B136" s="157"/>
    </row>
    <row r="137" spans="1:2" x14ac:dyDescent="0.2">
      <c r="A137" s="157"/>
      <c r="B137" s="157"/>
    </row>
    <row r="138" spans="1:2" x14ac:dyDescent="0.2">
      <c r="A138" s="157"/>
      <c r="B138" s="157"/>
    </row>
    <row r="139" spans="1:2" x14ac:dyDescent="0.2">
      <c r="A139" s="157"/>
      <c r="B139" s="157"/>
    </row>
    <row r="140" spans="1:2" x14ac:dyDescent="0.2">
      <c r="A140" s="157"/>
      <c r="B140" s="157"/>
    </row>
    <row r="141" spans="1:2" x14ac:dyDescent="0.2">
      <c r="A141" s="157"/>
      <c r="B141" s="157"/>
    </row>
    <row r="142" spans="1:2" x14ac:dyDescent="0.2">
      <c r="A142" s="157"/>
      <c r="B142" s="157"/>
    </row>
    <row r="143" spans="1:2" x14ac:dyDescent="0.2">
      <c r="A143" s="157"/>
      <c r="B143" s="157"/>
    </row>
    <row r="144" spans="1:2" x14ac:dyDescent="0.2">
      <c r="A144" s="157"/>
      <c r="B144" s="157"/>
    </row>
    <row r="145" spans="1:2" x14ac:dyDescent="0.2">
      <c r="A145" s="157"/>
      <c r="B145" s="157"/>
    </row>
    <row r="146" spans="1:2" x14ac:dyDescent="0.2">
      <c r="A146" s="157"/>
      <c r="B146" s="157"/>
    </row>
    <row r="147" spans="1:2" x14ac:dyDescent="0.2">
      <c r="A147" s="157"/>
      <c r="B147" s="157"/>
    </row>
    <row r="148" spans="1:2" x14ac:dyDescent="0.2">
      <c r="A148" s="157"/>
      <c r="B148" s="157"/>
    </row>
    <row r="149" spans="1:2" x14ac:dyDescent="0.2">
      <c r="A149" s="157"/>
      <c r="B149" s="157"/>
    </row>
    <row r="150" spans="1:2" x14ac:dyDescent="0.2">
      <c r="A150" s="157"/>
      <c r="B150" s="157"/>
    </row>
    <row r="151" spans="1:2" x14ac:dyDescent="0.2">
      <c r="A151" s="157"/>
      <c r="B151" s="157"/>
    </row>
    <row r="152" spans="1:2" x14ac:dyDescent="0.2">
      <c r="A152" s="157"/>
      <c r="B152" s="157"/>
    </row>
    <row r="153" spans="1:2" x14ac:dyDescent="0.2">
      <c r="A153" s="157"/>
      <c r="B153" s="157"/>
    </row>
    <row r="154" spans="1:2" x14ac:dyDescent="0.2">
      <c r="A154" s="157"/>
      <c r="B154" s="157"/>
    </row>
    <row r="155" spans="1:2" x14ac:dyDescent="0.2">
      <c r="A155" s="157"/>
      <c r="B155" s="157"/>
    </row>
    <row r="156" spans="1:2" x14ac:dyDescent="0.2">
      <c r="A156" s="157"/>
      <c r="B156" s="157"/>
    </row>
    <row r="157" spans="1:2" x14ac:dyDescent="0.2">
      <c r="A157" s="157"/>
      <c r="B157" s="157"/>
    </row>
    <row r="158" spans="1:2" x14ac:dyDescent="0.2">
      <c r="A158" s="157"/>
      <c r="B158" s="157"/>
    </row>
    <row r="159" spans="1:2" x14ac:dyDescent="0.2">
      <c r="A159" s="157"/>
      <c r="B159" s="157"/>
    </row>
    <row r="160" spans="1:2" x14ac:dyDescent="0.2">
      <c r="A160" s="157"/>
      <c r="B160" s="157"/>
    </row>
    <row r="161" spans="1:2" x14ac:dyDescent="0.2">
      <c r="A161" s="157"/>
      <c r="B161" s="157"/>
    </row>
    <row r="162" spans="1:2" x14ac:dyDescent="0.2">
      <c r="A162" s="157"/>
      <c r="B162" s="157"/>
    </row>
    <row r="163" spans="1:2" x14ac:dyDescent="0.2">
      <c r="A163" s="157"/>
      <c r="B163" s="157"/>
    </row>
    <row r="164" spans="1:2" x14ac:dyDescent="0.2">
      <c r="A164" s="157"/>
      <c r="B164" s="157"/>
    </row>
    <row r="165" spans="1:2" x14ac:dyDescent="0.2">
      <c r="A165" s="157"/>
      <c r="B165" s="157"/>
    </row>
    <row r="166" spans="1:2" x14ac:dyDescent="0.2">
      <c r="A166" s="157"/>
      <c r="B166" s="157"/>
    </row>
    <row r="167" spans="1:2" x14ac:dyDescent="0.2">
      <c r="A167" s="157"/>
      <c r="B167" s="157"/>
    </row>
    <row r="168" spans="1:2" x14ac:dyDescent="0.2">
      <c r="A168" s="157"/>
      <c r="B168" s="157"/>
    </row>
    <row r="169" spans="1:2" x14ac:dyDescent="0.2">
      <c r="A169" s="157"/>
      <c r="B169" s="157"/>
    </row>
    <row r="170" spans="1:2" x14ac:dyDescent="0.2">
      <c r="A170" s="157"/>
      <c r="B170" s="157"/>
    </row>
    <row r="171" spans="1:2" x14ac:dyDescent="0.2">
      <c r="A171" s="157"/>
      <c r="B171" s="157"/>
    </row>
    <row r="172" spans="1:2" x14ac:dyDescent="0.2">
      <c r="A172" s="157"/>
      <c r="B172" s="157"/>
    </row>
    <row r="173" spans="1:2" x14ac:dyDescent="0.2">
      <c r="A173" s="157"/>
      <c r="B173" s="157"/>
    </row>
    <row r="174" spans="1:2" x14ac:dyDescent="0.2">
      <c r="A174" s="157"/>
      <c r="B174" s="157"/>
    </row>
    <row r="175" spans="1:2" x14ac:dyDescent="0.2">
      <c r="A175" s="157"/>
      <c r="B175" s="157"/>
    </row>
    <row r="176" spans="1:2" x14ac:dyDescent="0.2">
      <c r="A176" s="157"/>
      <c r="B176" s="157"/>
    </row>
    <row r="177" spans="1:2" x14ac:dyDescent="0.2">
      <c r="A177" s="157"/>
      <c r="B177" s="157"/>
    </row>
    <row r="178" spans="1:2" x14ac:dyDescent="0.2">
      <c r="A178" s="157"/>
      <c r="B178" s="157"/>
    </row>
    <row r="179" spans="1:2" x14ac:dyDescent="0.2">
      <c r="A179" s="157"/>
      <c r="B179" s="157"/>
    </row>
    <row r="180" spans="1:2" x14ac:dyDescent="0.2">
      <c r="A180" s="157"/>
      <c r="B180" s="157"/>
    </row>
    <row r="181" spans="1:2" x14ac:dyDescent="0.2">
      <c r="A181" s="157"/>
      <c r="B181" s="157"/>
    </row>
    <row r="182" spans="1:2" x14ac:dyDescent="0.2">
      <c r="A182" s="157"/>
      <c r="B182" s="157"/>
    </row>
    <row r="183" spans="1:2" x14ac:dyDescent="0.2">
      <c r="A183" s="157"/>
      <c r="B183" s="157"/>
    </row>
    <row r="184" spans="1:2" x14ac:dyDescent="0.2">
      <c r="A184" s="157"/>
      <c r="B184" s="157"/>
    </row>
    <row r="185" spans="1:2" x14ac:dyDescent="0.2">
      <c r="A185" s="157"/>
      <c r="B185" s="157"/>
    </row>
    <row r="186" spans="1:2" x14ac:dyDescent="0.2">
      <c r="A186" s="157"/>
      <c r="B186" s="157"/>
    </row>
    <row r="187" spans="1:2" x14ac:dyDescent="0.2">
      <c r="A187" s="157"/>
      <c r="B187" s="157"/>
    </row>
    <row r="188" spans="1:2" x14ac:dyDescent="0.2">
      <c r="A188" s="157"/>
      <c r="B188" s="157"/>
    </row>
    <row r="189" spans="1:2" x14ac:dyDescent="0.2">
      <c r="A189" s="157"/>
      <c r="B189" s="157"/>
    </row>
    <row r="190" spans="1:2" x14ac:dyDescent="0.2">
      <c r="A190" s="157"/>
      <c r="B190" s="157"/>
    </row>
    <row r="191" spans="1:2" x14ac:dyDescent="0.2">
      <c r="A191" s="157"/>
      <c r="B191" s="157"/>
    </row>
    <row r="192" spans="1:2" x14ac:dyDescent="0.2">
      <c r="A192" s="157"/>
      <c r="B192" s="157"/>
    </row>
    <row r="193" spans="1:2" x14ac:dyDescent="0.2">
      <c r="A193" s="157"/>
      <c r="B193" s="157"/>
    </row>
    <row r="194" spans="1:2" x14ac:dyDescent="0.2">
      <c r="A194" s="157"/>
      <c r="B194" s="157"/>
    </row>
    <row r="195" spans="1:2" x14ac:dyDescent="0.2">
      <c r="A195" s="157"/>
      <c r="B195" s="157"/>
    </row>
    <row r="196" spans="1:2" x14ac:dyDescent="0.2">
      <c r="A196" s="157"/>
      <c r="B196" s="157"/>
    </row>
    <row r="197" spans="1:2" x14ac:dyDescent="0.2">
      <c r="A197" s="157"/>
      <c r="B197" s="157"/>
    </row>
    <row r="198" spans="1:2" x14ac:dyDescent="0.2">
      <c r="A198" s="157"/>
      <c r="B198" s="157"/>
    </row>
    <row r="199" spans="1:2" x14ac:dyDescent="0.2">
      <c r="A199" s="157"/>
      <c r="B199" s="157"/>
    </row>
    <row r="200" spans="1:2" x14ac:dyDescent="0.2">
      <c r="A200" s="157"/>
      <c r="B200" s="157"/>
    </row>
    <row r="201" spans="1:2" x14ac:dyDescent="0.2">
      <c r="A201" s="157"/>
      <c r="B201" s="157"/>
    </row>
    <row r="202" spans="1:2" x14ac:dyDescent="0.2">
      <c r="A202" s="157"/>
      <c r="B202" s="157"/>
    </row>
    <row r="203" spans="1:2" x14ac:dyDescent="0.2">
      <c r="A203" s="157"/>
      <c r="B203" s="157"/>
    </row>
    <row r="204" spans="1:2" x14ac:dyDescent="0.2">
      <c r="A204" s="157"/>
      <c r="B204" s="157"/>
    </row>
    <row r="205" spans="1:2" x14ac:dyDescent="0.2">
      <c r="A205" s="157"/>
      <c r="B205" s="157"/>
    </row>
    <row r="206" spans="1:2" x14ac:dyDescent="0.2">
      <c r="A206" s="157"/>
      <c r="B206" s="157"/>
    </row>
    <row r="207" spans="1:2" x14ac:dyDescent="0.2">
      <c r="A207" s="157"/>
      <c r="B207" s="157"/>
    </row>
    <row r="208" spans="1:2" x14ac:dyDescent="0.2">
      <c r="A208" s="157"/>
      <c r="B208" s="157"/>
    </row>
    <row r="209" spans="1:2" x14ac:dyDescent="0.2">
      <c r="A209" s="157"/>
      <c r="B209" s="157"/>
    </row>
    <row r="210" spans="1:2" x14ac:dyDescent="0.2">
      <c r="A210" s="157"/>
      <c r="B210" s="157"/>
    </row>
    <row r="211" spans="1:2" x14ac:dyDescent="0.2">
      <c r="A211" s="157"/>
      <c r="B211" s="157"/>
    </row>
    <row r="212" spans="1:2" x14ac:dyDescent="0.2">
      <c r="A212" s="157"/>
      <c r="B212" s="157"/>
    </row>
    <row r="213" spans="1:2" x14ac:dyDescent="0.2">
      <c r="A213" s="157"/>
      <c r="B213" s="157"/>
    </row>
    <row r="214" spans="1:2" x14ac:dyDescent="0.2">
      <c r="A214" s="157"/>
      <c r="B214" s="157"/>
    </row>
    <row r="215" spans="1:2" x14ac:dyDescent="0.2">
      <c r="A215" s="157"/>
      <c r="B215" s="157"/>
    </row>
    <row r="216" spans="1:2" x14ac:dyDescent="0.2">
      <c r="A216" s="157"/>
      <c r="B216" s="157"/>
    </row>
    <row r="217" spans="1:2" x14ac:dyDescent="0.2">
      <c r="A217" s="157"/>
      <c r="B217" s="157"/>
    </row>
    <row r="218" spans="1:2" x14ac:dyDescent="0.2">
      <c r="A218" s="157"/>
      <c r="B218" s="157"/>
    </row>
    <row r="219" spans="1:2" x14ac:dyDescent="0.2">
      <c r="A219" s="157"/>
      <c r="B219" s="157"/>
    </row>
    <row r="220" spans="1:2" x14ac:dyDescent="0.2">
      <c r="A220" s="157"/>
      <c r="B220" s="157"/>
    </row>
    <row r="221" spans="1:2" x14ac:dyDescent="0.2">
      <c r="A221" s="157"/>
      <c r="B221" s="157"/>
    </row>
    <row r="222" spans="1:2" x14ac:dyDescent="0.2">
      <c r="A222" s="157"/>
      <c r="B222" s="157"/>
    </row>
    <row r="223" spans="1:2" x14ac:dyDescent="0.2">
      <c r="A223" s="157"/>
      <c r="B223" s="157"/>
    </row>
    <row r="224" spans="1:2" x14ac:dyDescent="0.2">
      <c r="A224" s="157"/>
      <c r="B224" s="157"/>
    </row>
    <row r="225" spans="1:2" x14ac:dyDescent="0.2">
      <c r="A225" s="157"/>
      <c r="B225" s="157"/>
    </row>
    <row r="226" spans="1:2" x14ac:dyDescent="0.2">
      <c r="A226" s="157"/>
      <c r="B226" s="157"/>
    </row>
    <row r="227" spans="1:2" x14ac:dyDescent="0.2">
      <c r="A227" s="157"/>
      <c r="B227" s="157"/>
    </row>
    <row r="228" spans="1:2" x14ac:dyDescent="0.2">
      <c r="A228" s="157"/>
      <c r="B228" s="157"/>
    </row>
    <row r="229" spans="1:2" x14ac:dyDescent="0.2">
      <c r="A229" s="157"/>
      <c r="B229" s="157"/>
    </row>
    <row r="230" spans="1:2" x14ac:dyDescent="0.2">
      <c r="A230" s="157"/>
      <c r="B230" s="157"/>
    </row>
    <row r="231" spans="1:2" x14ac:dyDescent="0.2">
      <c r="A231" s="157"/>
      <c r="B231" s="157"/>
    </row>
    <row r="232" spans="1:2" x14ac:dyDescent="0.2">
      <c r="A232" s="157"/>
      <c r="B232" s="157"/>
    </row>
    <row r="233" spans="1:2" x14ac:dyDescent="0.2">
      <c r="A233" s="157"/>
      <c r="B233" s="157"/>
    </row>
    <row r="234" spans="1:2" x14ac:dyDescent="0.2">
      <c r="A234" s="157"/>
      <c r="B234" s="157"/>
    </row>
    <row r="235" spans="1:2" x14ac:dyDescent="0.2">
      <c r="A235" s="157"/>
      <c r="B235" s="157"/>
    </row>
    <row r="236" spans="1:2" x14ac:dyDescent="0.2">
      <c r="A236" s="157"/>
      <c r="B236" s="157"/>
    </row>
    <row r="237" spans="1:2" x14ac:dyDescent="0.2">
      <c r="A237" s="157"/>
      <c r="B237" s="157"/>
    </row>
    <row r="238" spans="1:2" x14ac:dyDescent="0.2">
      <c r="A238" s="157"/>
      <c r="B238" s="157"/>
    </row>
    <row r="239" spans="1:2" x14ac:dyDescent="0.2">
      <c r="A239" s="157"/>
      <c r="B239" s="157"/>
    </row>
    <row r="240" spans="1:2" x14ac:dyDescent="0.2">
      <c r="A240" s="157"/>
      <c r="B240" s="157"/>
    </row>
    <row r="241" spans="1:2" x14ac:dyDescent="0.2">
      <c r="A241" s="157"/>
      <c r="B241" s="157"/>
    </row>
    <row r="242" spans="1:2" x14ac:dyDescent="0.2">
      <c r="A242" s="157"/>
      <c r="B242" s="157"/>
    </row>
    <row r="243" spans="1:2" x14ac:dyDescent="0.2">
      <c r="A243" s="157"/>
      <c r="B243" s="157"/>
    </row>
    <row r="244" spans="1:2" x14ac:dyDescent="0.2">
      <c r="A244" s="157"/>
      <c r="B244" s="157"/>
    </row>
    <row r="245" spans="1:2" x14ac:dyDescent="0.2">
      <c r="A245" s="157"/>
      <c r="B245" s="157"/>
    </row>
    <row r="246" spans="1:2" x14ac:dyDescent="0.2">
      <c r="A246" s="157"/>
      <c r="B246" s="157"/>
    </row>
    <row r="247" spans="1:2" x14ac:dyDescent="0.2">
      <c r="A247" s="157"/>
      <c r="B247" s="157"/>
    </row>
    <row r="248" spans="1:2" x14ac:dyDescent="0.2">
      <c r="A248" s="157"/>
      <c r="B248" s="157"/>
    </row>
    <row r="249" spans="1:2" x14ac:dyDescent="0.2">
      <c r="A249" s="157"/>
      <c r="B249" s="157"/>
    </row>
    <row r="250" spans="1:2" x14ac:dyDescent="0.2">
      <c r="A250" s="157"/>
      <c r="B250" s="157"/>
    </row>
    <row r="251" spans="1:2" x14ac:dyDescent="0.2">
      <c r="A251" s="157"/>
      <c r="B251" s="157"/>
    </row>
    <row r="252" spans="1:2" x14ac:dyDescent="0.2">
      <c r="A252" s="157"/>
      <c r="B252" s="157"/>
    </row>
    <row r="253" spans="1:2" x14ac:dyDescent="0.2">
      <c r="A253" s="157"/>
      <c r="B253" s="157"/>
    </row>
    <row r="254" spans="1:2" x14ac:dyDescent="0.2">
      <c r="A254" s="157"/>
      <c r="B254" s="157"/>
    </row>
    <row r="255" spans="1:2" x14ac:dyDescent="0.2">
      <c r="A255" s="157"/>
      <c r="B255" s="157"/>
    </row>
    <row r="256" spans="1:2" x14ac:dyDescent="0.2">
      <c r="A256" s="157"/>
      <c r="B256" s="157"/>
    </row>
    <row r="257" spans="1:2" x14ac:dyDescent="0.2">
      <c r="A257" s="157"/>
      <c r="B257" s="157"/>
    </row>
    <row r="258" spans="1:2" x14ac:dyDescent="0.2">
      <c r="A258" s="157"/>
      <c r="B258" s="157"/>
    </row>
    <row r="259" spans="1:2" x14ac:dyDescent="0.2">
      <c r="A259" s="157"/>
      <c r="B259" s="157"/>
    </row>
    <row r="260" spans="1:2" x14ac:dyDescent="0.2">
      <c r="A260" s="157"/>
      <c r="B260" s="157"/>
    </row>
    <row r="261" spans="1:2" x14ac:dyDescent="0.2">
      <c r="A261" s="157"/>
      <c r="B261" s="157"/>
    </row>
    <row r="262" spans="1:2" x14ac:dyDescent="0.2">
      <c r="A262" s="157"/>
      <c r="B262" s="157"/>
    </row>
    <row r="263" spans="1:2" x14ac:dyDescent="0.2">
      <c r="A263" s="157"/>
      <c r="B263" s="157"/>
    </row>
    <row r="264" spans="1:2" x14ac:dyDescent="0.2">
      <c r="A264" s="157"/>
      <c r="B264" s="157"/>
    </row>
    <row r="265" spans="1:2" x14ac:dyDescent="0.2">
      <c r="A265" s="157"/>
      <c r="B265" s="157"/>
    </row>
    <row r="266" spans="1:2" x14ac:dyDescent="0.2">
      <c r="A266" s="157"/>
      <c r="B266" s="157"/>
    </row>
    <row r="267" spans="1:2" x14ac:dyDescent="0.2">
      <c r="A267" s="157"/>
      <c r="B267" s="157"/>
    </row>
  </sheetData>
  <mergeCells count="45">
    <mergeCell ref="F1:I1"/>
    <mergeCell ref="F42:I42"/>
    <mergeCell ref="E42:E44"/>
    <mergeCell ref="A7:H7"/>
    <mergeCell ref="A2:J2"/>
    <mergeCell ref="A3:J3"/>
    <mergeCell ref="A6:J6"/>
    <mergeCell ref="A5:J5"/>
    <mergeCell ref="A42:A44"/>
    <mergeCell ref="B42:B44"/>
    <mergeCell ref="H43:H44"/>
    <mergeCell ref="I43:I44"/>
    <mergeCell ref="C42:C44"/>
    <mergeCell ref="D42:D44"/>
    <mergeCell ref="F43:G43"/>
    <mergeCell ref="A8:A10"/>
    <mergeCell ref="B8:B10"/>
    <mergeCell ref="F8:I8"/>
    <mergeCell ref="H9:H10"/>
    <mergeCell ref="D8:D10"/>
    <mergeCell ref="C8:C10"/>
    <mergeCell ref="I9:I10"/>
    <mergeCell ref="E8:E10"/>
    <mergeCell ref="F9:G9"/>
    <mergeCell ref="A48:J48"/>
    <mergeCell ref="A49:A50"/>
    <mergeCell ref="D49:D50"/>
    <mergeCell ref="E49:E50"/>
    <mergeCell ref="H49:H50"/>
    <mergeCell ref="I49:I50"/>
    <mergeCell ref="B49:C50"/>
    <mergeCell ref="F49:G49"/>
    <mergeCell ref="A51:A55"/>
    <mergeCell ref="B51:C51"/>
    <mergeCell ref="B52:C52"/>
    <mergeCell ref="B53:C53"/>
    <mergeCell ref="B54:C54"/>
    <mergeCell ref="B55:C55"/>
    <mergeCell ref="B59:C59"/>
    <mergeCell ref="B60:C60"/>
    <mergeCell ref="B61:C61"/>
    <mergeCell ref="A56:A60"/>
    <mergeCell ref="B57:C57"/>
    <mergeCell ref="B56:C56"/>
    <mergeCell ref="B58:C58"/>
  </mergeCells>
  <phoneticPr fontId="15" type="noConversion"/>
  <printOptions horizontalCentered="1"/>
  <pageMargins left="0.15748031496062992" right="0.15748031496062992" top="3.937007874015748E-2" bottom="0.15748031496062992" header="0.15748031496062992" footer="0.15748031496062992"/>
  <pageSetup paperSize="9" scale="62" orientation="portrait" r:id="rId1"/>
  <headerFooter alignWithMargins="0"/>
  <rowBreaks count="2" manualBreakCount="2">
    <brk id="47" max="9" man="1"/>
    <brk id="7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50"/>
  </sheetPr>
  <dimension ref="A1:BC34"/>
  <sheetViews>
    <sheetView view="pageBreakPreview" topLeftCell="A7" zoomScale="75" zoomScaleNormal="75" workbookViewId="0">
      <selection activeCell="S10" sqref="S10:S22"/>
    </sheetView>
  </sheetViews>
  <sheetFormatPr defaultRowHeight="12.75" x14ac:dyDescent="0.2"/>
  <cols>
    <col min="1" max="1" width="27.85546875" customWidth="1"/>
    <col min="2" max="2" width="11" customWidth="1"/>
    <col min="3" max="3" width="10.42578125" bestFit="1" customWidth="1"/>
    <col min="4" max="4" width="10.42578125" customWidth="1"/>
    <col min="5" max="5" width="10.42578125" bestFit="1" customWidth="1"/>
    <col min="6" max="6" width="11.5703125" bestFit="1" customWidth="1"/>
    <col min="7" max="7" width="9.7109375" bestFit="1" customWidth="1"/>
    <col min="8" max="9" width="11.5703125" bestFit="1" customWidth="1"/>
    <col min="10" max="10" width="12.28515625" customWidth="1"/>
    <col min="11" max="12" width="11.5703125" bestFit="1" customWidth="1"/>
    <col min="13" max="13" width="12" customWidth="1"/>
    <col min="14" max="18" width="11.5703125" bestFit="1" customWidth="1"/>
    <col min="19" max="19" width="11.42578125" customWidth="1"/>
    <col min="20" max="20" width="13.5703125" customWidth="1"/>
    <col min="21" max="21" width="14.42578125" customWidth="1"/>
    <col min="22" max="22" width="13.85546875" customWidth="1"/>
    <col min="23" max="23" width="12.5703125" customWidth="1"/>
    <col min="24" max="24" width="12.140625" customWidth="1"/>
    <col min="25" max="25" width="12.5703125" customWidth="1"/>
    <col min="26" max="26" width="15" customWidth="1"/>
    <col min="27" max="27" width="14.5703125" customWidth="1"/>
    <col min="28" max="28" width="14.140625" customWidth="1"/>
    <col min="29" max="29" width="14.85546875" customWidth="1"/>
    <col min="30" max="30" width="15.28515625" customWidth="1"/>
    <col min="31" max="31" width="15.42578125" customWidth="1"/>
    <col min="32" max="33" width="11.140625" customWidth="1"/>
    <col min="34" max="34" width="35.140625" customWidth="1"/>
    <col min="35" max="35" width="22.42578125" customWidth="1"/>
    <col min="36" max="36" width="17.42578125" customWidth="1"/>
    <col min="37" max="37" width="12.140625" customWidth="1"/>
    <col min="38" max="38" width="12.42578125" customWidth="1"/>
    <col min="39" max="39" width="12" customWidth="1"/>
    <col min="40" max="40" width="11.5703125" customWidth="1"/>
    <col min="41" max="41" width="12.140625" customWidth="1"/>
    <col min="42" max="42" width="12.85546875" customWidth="1"/>
    <col min="43" max="43" width="10" customWidth="1"/>
    <col min="44" max="44" width="9.85546875" customWidth="1"/>
    <col min="45" max="46" width="10.42578125" customWidth="1"/>
    <col min="47" max="47" width="10" customWidth="1"/>
    <col min="48" max="49" width="11.140625" customWidth="1"/>
    <col min="50" max="50" width="18.7109375" customWidth="1"/>
    <col min="51" max="51" width="16.140625" customWidth="1"/>
    <col min="52" max="52" width="16.42578125" customWidth="1"/>
    <col min="53" max="53" width="19.28515625" customWidth="1"/>
    <col min="54" max="54" width="16.7109375" customWidth="1"/>
    <col min="55" max="55" width="15.85546875" customWidth="1"/>
  </cols>
  <sheetData>
    <row r="1" spans="1:55" ht="29.45" customHeight="1" x14ac:dyDescent="0.3">
      <c r="A1" s="46"/>
      <c r="B1" s="46"/>
      <c r="C1" s="46"/>
      <c r="D1" s="46"/>
      <c r="E1" s="494"/>
      <c r="F1" s="494"/>
      <c r="G1" s="494"/>
    </row>
    <row r="2" spans="1:55" ht="42.75" customHeight="1" x14ac:dyDescent="0.2">
      <c r="A2" s="497" t="s">
        <v>296</v>
      </c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497"/>
      <c r="S2" s="497"/>
      <c r="T2" s="497"/>
      <c r="U2" s="497"/>
      <c r="V2" s="497"/>
      <c r="W2" s="497"/>
      <c r="X2" s="497"/>
      <c r="Y2" s="497"/>
      <c r="Z2" s="497"/>
      <c r="AA2" s="497"/>
      <c r="AB2" s="497"/>
      <c r="AC2" s="497"/>
      <c r="AD2" s="497"/>
      <c r="AE2" s="497"/>
      <c r="AF2" s="497"/>
      <c r="AG2" s="497"/>
      <c r="AH2" s="497"/>
      <c r="AI2" s="497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5"/>
      <c r="AY2" s="205"/>
      <c r="AZ2" s="205"/>
      <c r="BA2" s="205"/>
      <c r="BB2" s="205"/>
      <c r="BC2" s="205"/>
    </row>
    <row r="3" spans="1:55" ht="18.75" x14ac:dyDescent="0.3">
      <c r="A3" s="46"/>
      <c r="B3" s="46"/>
      <c r="C3" s="46"/>
      <c r="D3" s="46"/>
      <c r="E3" s="46"/>
      <c r="F3" s="46"/>
      <c r="G3" s="46"/>
      <c r="AW3" s="205"/>
      <c r="AX3" s="204"/>
      <c r="AY3" s="204"/>
      <c r="AZ3" s="204"/>
      <c r="BA3" s="204"/>
      <c r="BB3" s="204"/>
      <c r="BC3" s="204"/>
    </row>
    <row r="4" spans="1:55" ht="58.15" customHeight="1" x14ac:dyDescent="0.2">
      <c r="A4" s="493" t="s">
        <v>151</v>
      </c>
      <c r="B4" s="487" t="s">
        <v>154</v>
      </c>
      <c r="C4" s="488"/>
      <c r="D4" s="488"/>
      <c r="E4" s="488"/>
      <c r="F4" s="488"/>
      <c r="G4" s="489"/>
      <c r="H4" s="487" t="s">
        <v>152</v>
      </c>
      <c r="I4" s="488"/>
      <c r="J4" s="488"/>
      <c r="K4" s="488"/>
      <c r="L4" s="488"/>
      <c r="M4" s="489"/>
      <c r="N4" s="487" t="s">
        <v>153</v>
      </c>
      <c r="O4" s="488"/>
      <c r="P4" s="488"/>
      <c r="Q4" s="488"/>
      <c r="R4" s="488"/>
      <c r="S4" s="489"/>
      <c r="T4" s="487" t="s">
        <v>280</v>
      </c>
      <c r="U4" s="488"/>
      <c r="V4" s="488"/>
      <c r="W4" s="488"/>
      <c r="X4" s="488"/>
      <c r="Y4" s="489"/>
      <c r="Z4" s="487" t="s">
        <v>281</v>
      </c>
      <c r="AA4" s="488"/>
      <c r="AB4" s="488"/>
      <c r="AC4" s="488"/>
      <c r="AD4" s="488"/>
      <c r="AE4" s="489"/>
      <c r="AF4" s="487" t="s">
        <v>168</v>
      </c>
      <c r="AG4" s="489"/>
      <c r="AH4" s="487" t="s">
        <v>193</v>
      </c>
      <c r="AI4" s="489"/>
      <c r="AJ4" s="495" t="s">
        <v>178</v>
      </c>
      <c r="AK4" s="500" t="s">
        <v>179</v>
      </c>
      <c r="AL4" s="502"/>
      <c r="AM4" s="502"/>
      <c r="AN4" s="502"/>
      <c r="AO4" s="502"/>
      <c r="AP4" s="502"/>
      <c r="AQ4" s="501"/>
      <c r="AR4" s="493" t="s">
        <v>169</v>
      </c>
      <c r="AS4" s="493"/>
      <c r="AT4" s="493"/>
      <c r="AU4" s="493"/>
      <c r="AV4" s="493"/>
      <c r="AW4" s="493"/>
      <c r="AX4" s="493" t="s">
        <v>180</v>
      </c>
      <c r="AY4" s="500" t="s">
        <v>179</v>
      </c>
      <c r="AZ4" s="502"/>
      <c r="BA4" s="502"/>
      <c r="BB4" s="502"/>
      <c r="BC4" s="501"/>
    </row>
    <row r="5" spans="1:55" ht="102" customHeight="1" x14ac:dyDescent="0.2">
      <c r="A5" s="493"/>
      <c r="B5" s="490"/>
      <c r="C5" s="491"/>
      <c r="D5" s="491"/>
      <c r="E5" s="491"/>
      <c r="F5" s="491"/>
      <c r="G5" s="492"/>
      <c r="H5" s="490"/>
      <c r="I5" s="491"/>
      <c r="J5" s="491"/>
      <c r="K5" s="491"/>
      <c r="L5" s="491"/>
      <c r="M5" s="492"/>
      <c r="N5" s="490"/>
      <c r="O5" s="491"/>
      <c r="P5" s="491"/>
      <c r="Q5" s="491"/>
      <c r="R5" s="491"/>
      <c r="S5" s="492"/>
      <c r="T5" s="490"/>
      <c r="U5" s="491"/>
      <c r="V5" s="491"/>
      <c r="W5" s="491"/>
      <c r="X5" s="491"/>
      <c r="Y5" s="492"/>
      <c r="Z5" s="490"/>
      <c r="AA5" s="491"/>
      <c r="AB5" s="491"/>
      <c r="AC5" s="491"/>
      <c r="AD5" s="491"/>
      <c r="AE5" s="492"/>
      <c r="AF5" s="490"/>
      <c r="AG5" s="492"/>
      <c r="AH5" s="490"/>
      <c r="AI5" s="492"/>
      <c r="AJ5" s="503"/>
      <c r="AK5" s="493" t="s">
        <v>190</v>
      </c>
      <c r="AL5" s="493" t="s">
        <v>189</v>
      </c>
      <c r="AM5" s="493" t="s">
        <v>191</v>
      </c>
      <c r="AN5" s="493" t="s">
        <v>192</v>
      </c>
      <c r="AO5" s="493" t="s">
        <v>21</v>
      </c>
      <c r="AP5" s="493" t="s">
        <v>49</v>
      </c>
      <c r="AQ5" s="493" t="s">
        <v>53</v>
      </c>
      <c r="AR5" s="500" t="s">
        <v>157</v>
      </c>
      <c r="AS5" s="501"/>
      <c r="AT5" s="500" t="s">
        <v>158</v>
      </c>
      <c r="AU5" s="501"/>
      <c r="AV5" s="500" t="s">
        <v>159</v>
      </c>
      <c r="AW5" s="501"/>
      <c r="AX5" s="493"/>
      <c r="AY5" s="493" t="s">
        <v>182</v>
      </c>
      <c r="AZ5" s="493" t="s">
        <v>183</v>
      </c>
      <c r="BA5" s="493" t="s">
        <v>184</v>
      </c>
      <c r="BB5" s="493" t="s">
        <v>185</v>
      </c>
      <c r="BC5" s="493" t="s">
        <v>186</v>
      </c>
    </row>
    <row r="6" spans="1:55" ht="39.75" customHeight="1" x14ac:dyDescent="0.2">
      <c r="A6" s="493"/>
      <c r="B6" s="493" t="s">
        <v>273</v>
      </c>
      <c r="C6" s="493" t="s">
        <v>289</v>
      </c>
      <c r="D6" s="493" t="s">
        <v>297</v>
      </c>
      <c r="E6" s="493" t="s">
        <v>65</v>
      </c>
      <c r="F6" s="493"/>
      <c r="G6" s="493"/>
      <c r="H6" s="493" t="str">
        <f>B6</f>
        <v>Факт 
2022 г.</v>
      </c>
      <c r="I6" s="493" t="str">
        <f>C6</f>
        <v>Факт 
2023 г.</v>
      </c>
      <c r="J6" s="493" t="str">
        <f>D6</f>
        <v>Оценка 2024 г.</v>
      </c>
      <c r="K6" s="493" t="s">
        <v>65</v>
      </c>
      <c r="L6" s="493"/>
      <c r="M6" s="493"/>
      <c r="N6" s="493" t="str">
        <f>B6</f>
        <v>Факт 
2022 г.</v>
      </c>
      <c r="O6" s="493" t="str">
        <f t="shared" ref="O6:P6" si="0">C6</f>
        <v>Факт 
2023 г.</v>
      </c>
      <c r="P6" s="493" t="str">
        <f t="shared" si="0"/>
        <v>Оценка 2024 г.</v>
      </c>
      <c r="Q6" s="493" t="s">
        <v>65</v>
      </c>
      <c r="R6" s="493"/>
      <c r="S6" s="493"/>
      <c r="T6" s="493" t="str">
        <f>B6</f>
        <v>Факт 
2022 г.</v>
      </c>
      <c r="U6" s="493" t="str">
        <f t="shared" ref="U6:V6" si="1">C6</f>
        <v>Факт 
2023 г.</v>
      </c>
      <c r="V6" s="493" t="str">
        <f t="shared" si="1"/>
        <v>Оценка 2024 г.</v>
      </c>
      <c r="W6" s="493" t="s">
        <v>65</v>
      </c>
      <c r="X6" s="493"/>
      <c r="Y6" s="493"/>
      <c r="Z6" s="493" t="str">
        <f>B6</f>
        <v>Факт 
2022 г.</v>
      </c>
      <c r="AA6" s="493" t="str">
        <f>C6</f>
        <v>Факт 
2023 г.</v>
      </c>
      <c r="AB6" s="493" t="str">
        <f>D6</f>
        <v>Оценка 2024 г.</v>
      </c>
      <c r="AC6" s="493" t="s">
        <v>65</v>
      </c>
      <c r="AD6" s="493"/>
      <c r="AE6" s="493"/>
      <c r="AF6" s="495" t="str">
        <f>C6</f>
        <v>Факт 
2023 г.</v>
      </c>
      <c r="AG6" s="495" t="str">
        <f>D6</f>
        <v>Оценка 2024 г.</v>
      </c>
      <c r="AH6" s="495" t="s">
        <v>187</v>
      </c>
      <c r="AI6" s="495" t="s">
        <v>188</v>
      </c>
      <c r="AJ6" s="503"/>
      <c r="AK6" s="493"/>
      <c r="AL6" s="493"/>
      <c r="AM6" s="493"/>
      <c r="AN6" s="493"/>
      <c r="AO6" s="493"/>
      <c r="AP6" s="493"/>
      <c r="AQ6" s="493"/>
      <c r="AR6" s="495" t="s">
        <v>289</v>
      </c>
      <c r="AS6" s="495" t="s">
        <v>297</v>
      </c>
      <c r="AT6" s="495" t="s">
        <v>289</v>
      </c>
      <c r="AU6" s="495" t="s">
        <v>297</v>
      </c>
      <c r="AV6" s="495" t="s">
        <v>289</v>
      </c>
      <c r="AW6" s="495" t="s">
        <v>297</v>
      </c>
      <c r="AX6" s="493"/>
      <c r="AY6" s="493"/>
      <c r="AZ6" s="493"/>
      <c r="BA6" s="493"/>
      <c r="BB6" s="493"/>
      <c r="BC6" s="493"/>
    </row>
    <row r="7" spans="1:55" ht="36" customHeight="1" x14ac:dyDescent="0.2">
      <c r="A7" s="493"/>
      <c r="B7" s="493"/>
      <c r="C7" s="493"/>
      <c r="D7" s="493"/>
      <c r="E7" s="235" t="s">
        <v>272</v>
      </c>
      <c r="F7" s="235" t="s">
        <v>274</v>
      </c>
      <c r="G7" s="235" t="s">
        <v>291</v>
      </c>
      <c r="H7" s="493"/>
      <c r="I7" s="493"/>
      <c r="J7" s="493"/>
      <c r="K7" s="244" t="str">
        <f>E7</f>
        <v>2025 г.</v>
      </c>
      <c r="L7" s="244" t="str">
        <f>F7</f>
        <v>2026 г.</v>
      </c>
      <c r="M7" s="244" t="str">
        <f>G7</f>
        <v>2027 г.</v>
      </c>
      <c r="N7" s="493"/>
      <c r="O7" s="493"/>
      <c r="P7" s="493"/>
      <c r="Q7" s="249" t="str">
        <f>E7</f>
        <v>2025 г.</v>
      </c>
      <c r="R7" s="249" t="str">
        <f t="shared" ref="R7:S7" si="2">F7</f>
        <v>2026 г.</v>
      </c>
      <c r="S7" s="249" t="str">
        <f t="shared" si="2"/>
        <v>2027 г.</v>
      </c>
      <c r="T7" s="493"/>
      <c r="U7" s="493"/>
      <c r="V7" s="493"/>
      <c r="W7" s="249" t="str">
        <f>E7</f>
        <v>2025 г.</v>
      </c>
      <c r="X7" s="249" t="str">
        <f>F7</f>
        <v>2026 г.</v>
      </c>
      <c r="Y7" s="249" t="str">
        <f>G7</f>
        <v>2027 г.</v>
      </c>
      <c r="Z7" s="493"/>
      <c r="AA7" s="493"/>
      <c r="AB7" s="493"/>
      <c r="AC7" s="244" t="str">
        <f>E7</f>
        <v>2025 г.</v>
      </c>
      <c r="AD7" s="244" t="str">
        <f>F7</f>
        <v>2026 г.</v>
      </c>
      <c r="AE7" s="244" t="str">
        <f>G7</f>
        <v>2027 г.</v>
      </c>
      <c r="AF7" s="496"/>
      <c r="AG7" s="496"/>
      <c r="AH7" s="496"/>
      <c r="AI7" s="496"/>
      <c r="AJ7" s="496"/>
      <c r="AK7" s="493"/>
      <c r="AL7" s="493"/>
      <c r="AM7" s="493"/>
      <c r="AN7" s="493"/>
      <c r="AO7" s="493"/>
      <c r="AP7" s="493"/>
      <c r="AQ7" s="493"/>
      <c r="AR7" s="496"/>
      <c r="AS7" s="496"/>
      <c r="AT7" s="496"/>
      <c r="AU7" s="496"/>
      <c r="AV7" s="496"/>
      <c r="AW7" s="496"/>
      <c r="AX7" s="493"/>
      <c r="AY7" s="493"/>
      <c r="AZ7" s="493"/>
      <c r="BA7" s="493"/>
      <c r="BB7" s="493"/>
      <c r="BC7" s="493"/>
    </row>
    <row r="8" spans="1:55" ht="56.25" x14ac:dyDescent="0.2">
      <c r="A8" s="314" t="s">
        <v>347</v>
      </c>
      <c r="B8" s="317">
        <v>846.62300000000005</v>
      </c>
      <c r="C8" s="317">
        <v>841.58399999999995</v>
      </c>
      <c r="D8" s="361">
        <v>860.43</v>
      </c>
      <c r="E8" s="361">
        <v>871.01649999999995</v>
      </c>
      <c r="F8" s="361">
        <v>902.66</v>
      </c>
      <c r="G8" s="373">
        <v>911.9</v>
      </c>
      <c r="H8" s="317">
        <v>1819.932</v>
      </c>
      <c r="I8" s="317">
        <v>1831.6940999999999</v>
      </c>
      <c r="J8" s="317">
        <v>1896.72</v>
      </c>
      <c r="K8" s="317">
        <v>2035.57</v>
      </c>
      <c r="L8" s="317">
        <v>2113.1999999999998</v>
      </c>
      <c r="M8" s="317">
        <v>2345.123</v>
      </c>
      <c r="N8" s="361">
        <v>2297</v>
      </c>
      <c r="O8" s="361">
        <v>2209</v>
      </c>
      <c r="P8" s="361">
        <v>2181</v>
      </c>
      <c r="Q8" s="361">
        <v>2297</v>
      </c>
      <c r="R8" s="361">
        <v>2316</v>
      </c>
      <c r="S8" s="372">
        <v>2581.63</v>
      </c>
      <c r="T8" s="361">
        <v>437277</v>
      </c>
      <c r="U8" s="361">
        <v>259456</v>
      </c>
      <c r="V8" s="361">
        <v>111827</v>
      </c>
      <c r="W8" s="369">
        <f>V8*103%</f>
        <v>115181.81</v>
      </c>
      <c r="X8" s="369">
        <f t="shared" ref="X8:Y22" si="3">W8*103%</f>
        <v>118637.2643</v>
      </c>
      <c r="Y8" s="369">
        <f t="shared" si="3"/>
        <v>122196.382229</v>
      </c>
      <c r="Z8" s="370">
        <v>437496.04</v>
      </c>
      <c r="AA8" s="370">
        <v>258728</v>
      </c>
      <c r="AB8" s="370">
        <v>117014</v>
      </c>
      <c r="AC8" s="370">
        <v>105331.39</v>
      </c>
      <c r="AD8" s="370">
        <v>103579.83</v>
      </c>
      <c r="AE8" s="370">
        <f>AD8*103%</f>
        <v>106687.2249</v>
      </c>
      <c r="AF8" s="318">
        <v>42</v>
      </c>
      <c r="AG8" s="318">
        <v>16</v>
      </c>
      <c r="AH8" s="189"/>
      <c r="AI8" s="189"/>
      <c r="AJ8" s="319">
        <v>8</v>
      </c>
      <c r="AK8" s="320">
        <v>0</v>
      </c>
      <c r="AL8" s="320">
        <v>1</v>
      </c>
      <c r="AM8" s="320">
        <v>1</v>
      </c>
      <c r="AN8" s="319">
        <v>0</v>
      </c>
      <c r="AO8" s="319">
        <v>2</v>
      </c>
      <c r="AP8" s="319">
        <v>2</v>
      </c>
      <c r="AQ8" s="319">
        <v>2</v>
      </c>
      <c r="AR8" s="321">
        <v>182</v>
      </c>
      <c r="AS8" s="321">
        <v>195</v>
      </c>
      <c r="AT8" s="319">
        <v>45</v>
      </c>
      <c r="AU8" s="318">
        <v>46</v>
      </c>
      <c r="AV8" s="319">
        <v>15</v>
      </c>
      <c r="AW8" s="319">
        <v>15</v>
      </c>
      <c r="AX8" s="322">
        <f>AY8+AZ8+BA8+BB8+BC8</f>
        <v>16</v>
      </c>
      <c r="AY8" s="322">
        <v>5</v>
      </c>
      <c r="AZ8" s="322">
        <v>3</v>
      </c>
      <c r="BA8" s="322">
        <v>2</v>
      </c>
      <c r="BB8" s="322">
        <v>1</v>
      </c>
      <c r="BC8" s="322">
        <v>5</v>
      </c>
    </row>
    <row r="9" spans="1:55" ht="56.25" x14ac:dyDescent="0.2">
      <c r="A9" s="314" t="s">
        <v>348</v>
      </c>
      <c r="B9" s="362">
        <v>1988.4</v>
      </c>
      <c r="C9" s="362">
        <v>2118.54</v>
      </c>
      <c r="D9" s="363">
        <v>2275.9299999999998</v>
      </c>
      <c r="E9" s="363">
        <v>2433.25</v>
      </c>
      <c r="F9" s="361">
        <v>2543.25</v>
      </c>
      <c r="G9" s="373">
        <v>2634.21</v>
      </c>
      <c r="H9" s="317">
        <v>1398.7</v>
      </c>
      <c r="I9" s="317">
        <v>1401.51</v>
      </c>
      <c r="J9" s="317">
        <v>1403.7950000000001</v>
      </c>
      <c r="K9" s="317">
        <v>1501.66</v>
      </c>
      <c r="L9" s="317">
        <v>1552.6</v>
      </c>
      <c r="M9" s="317">
        <v>1671.89</v>
      </c>
      <c r="N9" s="361">
        <v>1044</v>
      </c>
      <c r="O9" s="361">
        <v>1091</v>
      </c>
      <c r="P9" s="361">
        <f t="shared" ref="P9:S22" si="4">O9*101%</f>
        <v>1101.9100000000001</v>
      </c>
      <c r="Q9" s="361">
        <v>1195</v>
      </c>
      <c r="R9" s="361">
        <f t="shared" si="4"/>
        <v>1206.95</v>
      </c>
      <c r="S9" s="374">
        <f t="shared" si="4"/>
        <v>1219.0195000000001</v>
      </c>
      <c r="T9" s="361">
        <v>74951</v>
      </c>
      <c r="U9" s="361">
        <v>166429</v>
      </c>
      <c r="V9" s="361">
        <v>63318</v>
      </c>
      <c r="W9" s="369">
        <f t="shared" ref="W9:X9" si="5">V9*103%</f>
        <v>65217.54</v>
      </c>
      <c r="X9" s="369">
        <f t="shared" si="5"/>
        <v>67174.066200000001</v>
      </c>
      <c r="Y9" s="369">
        <f t="shared" si="3"/>
        <v>69189.288186000005</v>
      </c>
      <c r="Z9" s="370">
        <v>76155.789999999994</v>
      </c>
      <c r="AA9" s="370">
        <v>164722.54</v>
      </c>
      <c r="AB9" s="370">
        <v>70932</v>
      </c>
      <c r="AC9" s="370">
        <v>42330</v>
      </c>
      <c r="AD9" s="370">
        <v>42765</v>
      </c>
      <c r="AE9" s="370">
        <f t="shared" ref="AE9:AE22" si="6">AD9*103%</f>
        <v>44047.950000000004</v>
      </c>
      <c r="AF9" s="318">
        <v>27</v>
      </c>
      <c r="AG9" s="318">
        <v>12</v>
      </c>
      <c r="AH9" s="318" t="s">
        <v>362</v>
      </c>
      <c r="AI9" s="318">
        <v>483</v>
      </c>
      <c r="AJ9" s="319">
        <v>3</v>
      </c>
      <c r="AK9" s="319">
        <v>1</v>
      </c>
      <c r="AL9" s="319">
        <v>0</v>
      </c>
      <c r="AM9" s="319">
        <v>0</v>
      </c>
      <c r="AN9" s="319">
        <v>0</v>
      </c>
      <c r="AO9" s="319">
        <v>1</v>
      </c>
      <c r="AP9" s="319">
        <v>0</v>
      </c>
      <c r="AQ9" s="319">
        <v>1</v>
      </c>
      <c r="AR9" s="321">
        <v>101</v>
      </c>
      <c r="AS9" s="321">
        <v>108</v>
      </c>
      <c r="AT9" s="319">
        <v>14</v>
      </c>
      <c r="AU9" s="314">
        <v>15</v>
      </c>
      <c r="AV9" s="319">
        <v>10</v>
      </c>
      <c r="AW9" s="319">
        <v>10</v>
      </c>
      <c r="AX9" s="322">
        <f t="shared" ref="AX9:AX22" si="7">AY9+AZ9+BA9+BB9+BC9</f>
        <v>7</v>
      </c>
      <c r="AY9" s="322">
        <v>2</v>
      </c>
      <c r="AZ9" s="322">
        <v>2</v>
      </c>
      <c r="BA9" s="322">
        <v>1</v>
      </c>
      <c r="BB9" s="322">
        <v>0</v>
      </c>
      <c r="BC9" s="322">
        <v>2</v>
      </c>
    </row>
    <row r="10" spans="1:55" ht="56.25" x14ac:dyDescent="0.2">
      <c r="A10" s="314" t="s">
        <v>349</v>
      </c>
      <c r="B10" s="315">
        <v>2.802</v>
      </c>
      <c r="C10" s="315">
        <v>2.802</v>
      </c>
      <c r="D10" s="316">
        <f t="shared" ref="D10:G22" si="8">C10*101%</f>
        <v>2.8300200000000002</v>
      </c>
      <c r="E10" s="316">
        <f t="shared" si="8"/>
        <v>2.8583202000000001</v>
      </c>
      <c r="F10" s="316">
        <f t="shared" si="8"/>
        <v>2.8869034020000002</v>
      </c>
      <c r="G10" s="373">
        <f t="shared" si="8"/>
        <v>2.9157724360200001</v>
      </c>
      <c r="H10" s="315">
        <v>6.202</v>
      </c>
      <c r="I10" s="315">
        <v>6.202</v>
      </c>
      <c r="J10" s="315">
        <v>6.202</v>
      </c>
      <c r="K10" s="316">
        <f t="shared" ref="K10:M22" si="9">J10*101%</f>
        <v>6.2640200000000004</v>
      </c>
      <c r="L10" s="316">
        <f t="shared" si="9"/>
        <v>6.3266602000000001</v>
      </c>
      <c r="M10" s="316">
        <f t="shared" si="9"/>
        <v>6.3899268019999997</v>
      </c>
      <c r="N10" s="361">
        <v>229</v>
      </c>
      <c r="O10" s="361">
        <v>229</v>
      </c>
      <c r="P10" s="361">
        <f t="shared" si="4"/>
        <v>231.29</v>
      </c>
      <c r="Q10" s="361">
        <f t="shared" si="4"/>
        <v>233.60290000000001</v>
      </c>
      <c r="R10" s="361">
        <f t="shared" si="4"/>
        <v>235.938929</v>
      </c>
      <c r="S10" s="374">
        <f t="shared" si="4"/>
        <v>238.29831829</v>
      </c>
      <c r="T10" s="361">
        <v>28020</v>
      </c>
      <c r="U10" s="361">
        <v>95689</v>
      </c>
      <c r="V10" s="361">
        <v>22055</v>
      </c>
      <c r="W10" s="369">
        <v>18922</v>
      </c>
      <c r="X10" s="369">
        <v>19171</v>
      </c>
      <c r="Y10" s="369">
        <f t="shared" si="3"/>
        <v>19746.13</v>
      </c>
      <c r="Z10" s="370">
        <v>26140.87</v>
      </c>
      <c r="AA10" s="370">
        <v>97122.45</v>
      </c>
      <c r="AB10" s="370">
        <v>39159.85</v>
      </c>
      <c r="AC10" s="370">
        <v>18687.75</v>
      </c>
      <c r="AD10" s="370">
        <v>18470.900000000001</v>
      </c>
      <c r="AE10" s="370">
        <f t="shared" si="6"/>
        <v>19025.027000000002</v>
      </c>
      <c r="AF10" s="318">
        <v>4</v>
      </c>
      <c r="AG10" s="318">
        <v>4</v>
      </c>
      <c r="AH10" s="189"/>
      <c r="AI10" s="189"/>
      <c r="AJ10" s="319">
        <v>1</v>
      </c>
      <c r="AK10" s="319">
        <v>0</v>
      </c>
      <c r="AL10" s="319">
        <v>0</v>
      </c>
      <c r="AM10" s="319">
        <v>0</v>
      </c>
      <c r="AN10" s="319">
        <v>0</v>
      </c>
      <c r="AO10" s="319">
        <v>0</v>
      </c>
      <c r="AP10" s="319">
        <v>0</v>
      </c>
      <c r="AQ10" s="319">
        <v>1</v>
      </c>
      <c r="AR10" s="321">
        <v>6</v>
      </c>
      <c r="AS10" s="318">
        <v>5</v>
      </c>
      <c r="AT10" s="319">
        <v>0</v>
      </c>
      <c r="AU10" s="318">
        <v>0</v>
      </c>
      <c r="AV10" s="319">
        <v>0</v>
      </c>
      <c r="AW10" s="319">
        <v>0</v>
      </c>
      <c r="AX10" s="322">
        <f t="shared" si="7"/>
        <v>4</v>
      </c>
      <c r="AY10" s="322">
        <v>2</v>
      </c>
      <c r="AZ10" s="322">
        <v>1</v>
      </c>
      <c r="BA10" s="322">
        <v>0</v>
      </c>
      <c r="BB10" s="322">
        <v>0</v>
      </c>
      <c r="BC10" s="322">
        <v>1</v>
      </c>
    </row>
    <row r="11" spans="1:55" ht="56.25" x14ac:dyDescent="0.2">
      <c r="A11" s="314" t="s">
        <v>350</v>
      </c>
      <c r="B11" s="315">
        <v>1.9</v>
      </c>
      <c r="C11" s="315">
        <v>1.9</v>
      </c>
      <c r="D11" s="316">
        <f t="shared" si="8"/>
        <v>1.9189999999999998</v>
      </c>
      <c r="E11" s="316">
        <f t="shared" si="8"/>
        <v>1.9381899999999999</v>
      </c>
      <c r="F11" s="316">
        <f t="shared" si="8"/>
        <v>1.9575718999999998</v>
      </c>
      <c r="G11" s="373">
        <f t="shared" si="8"/>
        <v>1.9771476189999999</v>
      </c>
      <c r="H11" s="315">
        <v>9.3230000000000004</v>
      </c>
      <c r="I11" s="315">
        <v>9.3230000000000004</v>
      </c>
      <c r="J11" s="315">
        <v>9.3230000000000004</v>
      </c>
      <c r="K11" s="316">
        <v>9.3989999999999991</v>
      </c>
      <c r="L11" s="316">
        <f t="shared" si="9"/>
        <v>9.4929899999999989</v>
      </c>
      <c r="M11" s="316">
        <f t="shared" si="9"/>
        <v>9.5879198999999993</v>
      </c>
      <c r="N11" s="361">
        <v>150</v>
      </c>
      <c r="O11" s="361">
        <v>150</v>
      </c>
      <c r="P11" s="361">
        <f t="shared" si="4"/>
        <v>151.5</v>
      </c>
      <c r="Q11" s="361">
        <f t="shared" si="4"/>
        <v>153.01500000000001</v>
      </c>
      <c r="R11" s="361">
        <f t="shared" si="4"/>
        <v>154.54515000000001</v>
      </c>
      <c r="S11" s="374">
        <f t="shared" si="4"/>
        <v>156.09060150000002</v>
      </c>
      <c r="T11" s="361">
        <v>26839</v>
      </c>
      <c r="U11" s="361">
        <v>193618</v>
      </c>
      <c r="V11" s="361">
        <v>24227</v>
      </c>
      <c r="W11" s="369">
        <v>18996</v>
      </c>
      <c r="X11" s="369">
        <v>19290</v>
      </c>
      <c r="Y11" s="369">
        <f t="shared" si="3"/>
        <v>19868.7</v>
      </c>
      <c r="Z11" s="370">
        <v>27207.77</v>
      </c>
      <c r="AA11" s="370">
        <v>193980.79</v>
      </c>
      <c r="AB11" s="370">
        <v>25180</v>
      </c>
      <c r="AC11" s="370">
        <v>18734.77</v>
      </c>
      <c r="AD11" s="370">
        <v>18558.63</v>
      </c>
      <c r="AE11" s="370">
        <f t="shared" si="6"/>
        <v>19115.388900000002</v>
      </c>
      <c r="AF11" s="318">
        <v>9</v>
      </c>
      <c r="AG11" s="318">
        <v>9</v>
      </c>
      <c r="AH11" s="189"/>
      <c r="AI11" s="189"/>
      <c r="AJ11" s="319">
        <v>1</v>
      </c>
      <c r="AK11" s="319">
        <v>0</v>
      </c>
      <c r="AL11" s="319">
        <v>0</v>
      </c>
      <c r="AM11" s="319">
        <v>0</v>
      </c>
      <c r="AN11" s="319">
        <v>0</v>
      </c>
      <c r="AO11" s="319">
        <v>0</v>
      </c>
      <c r="AP11" s="319">
        <v>0</v>
      </c>
      <c r="AQ11" s="319">
        <v>1</v>
      </c>
      <c r="AR11" s="321">
        <v>5</v>
      </c>
      <c r="AS11" s="318">
        <v>4</v>
      </c>
      <c r="AT11" s="319">
        <v>0</v>
      </c>
      <c r="AU11" s="318">
        <v>0</v>
      </c>
      <c r="AV11" s="319">
        <v>0</v>
      </c>
      <c r="AW11" s="319">
        <v>0</v>
      </c>
      <c r="AX11" s="322">
        <f t="shared" si="7"/>
        <v>2</v>
      </c>
      <c r="AY11" s="322">
        <v>0</v>
      </c>
      <c r="AZ11" s="322">
        <v>1</v>
      </c>
      <c r="BA11" s="322">
        <v>0</v>
      </c>
      <c r="BB11" s="322">
        <v>0</v>
      </c>
      <c r="BC11" s="322">
        <v>1</v>
      </c>
    </row>
    <row r="12" spans="1:55" ht="56.25" x14ac:dyDescent="0.2">
      <c r="A12" s="314" t="s">
        <v>351</v>
      </c>
      <c r="B12" s="315">
        <v>0.67</v>
      </c>
      <c r="C12" s="315">
        <v>0.67</v>
      </c>
      <c r="D12" s="316">
        <f t="shared" si="8"/>
        <v>0.67670000000000008</v>
      </c>
      <c r="E12" s="316">
        <f t="shared" si="8"/>
        <v>0.68346700000000005</v>
      </c>
      <c r="F12" s="316">
        <f t="shared" si="8"/>
        <v>0.69030167000000009</v>
      </c>
      <c r="G12" s="373">
        <f t="shared" si="8"/>
        <v>0.69720468670000013</v>
      </c>
      <c r="H12" s="315">
        <v>7.9539999999999997</v>
      </c>
      <c r="I12" s="315">
        <v>7.9539999999999997</v>
      </c>
      <c r="J12" s="315">
        <v>7.9539999999999997</v>
      </c>
      <c r="K12" s="316">
        <f t="shared" si="9"/>
        <v>8.0335400000000003</v>
      </c>
      <c r="L12" s="316">
        <f t="shared" si="9"/>
        <v>8.1138754000000013</v>
      </c>
      <c r="M12" s="316">
        <f t="shared" si="9"/>
        <v>8.1950141540000008</v>
      </c>
      <c r="N12" s="361">
        <v>271</v>
      </c>
      <c r="O12" s="361">
        <v>271</v>
      </c>
      <c r="P12" s="361">
        <f t="shared" si="4"/>
        <v>273.70999999999998</v>
      </c>
      <c r="Q12" s="361">
        <f t="shared" si="4"/>
        <v>276.44709999999998</v>
      </c>
      <c r="R12" s="361">
        <f t="shared" si="4"/>
        <v>279.21157099999999</v>
      </c>
      <c r="S12" s="374">
        <f t="shared" si="4"/>
        <v>282.00368671000001</v>
      </c>
      <c r="T12" s="361">
        <v>37941</v>
      </c>
      <c r="U12" s="361">
        <v>17701</v>
      </c>
      <c r="V12" s="361">
        <v>20931</v>
      </c>
      <c r="W12" s="369">
        <v>15326</v>
      </c>
      <c r="X12" s="369">
        <v>15917</v>
      </c>
      <c r="Y12" s="369">
        <f t="shared" si="3"/>
        <v>16394.510000000002</v>
      </c>
      <c r="Z12" s="370">
        <v>37610.480000000003</v>
      </c>
      <c r="AA12" s="370">
        <v>17107.71</v>
      </c>
      <c r="AB12" s="370">
        <v>6402.36</v>
      </c>
      <c r="AC12" s="370">
        <v>15172.04</v>
      </c>
      <c r="AD12" s="370">
        <v>15385.86</v>
      </c>
      <c r="AE12" s="370">
        <f t="shared" si="6"/>
        <v>15847.435800000001</v>
      </c>
      <c r="AF12" s="318">
        <v>24</v>
      </c>
      <c r="AG12" s="318">
        <v>9</v>
      </c>
      <c r="AH12" s="189"/>
      <c r="AI12" s="189"/>
      <c r="AJ12" s="319">
        <v>1</v>
      </c>
      <c r="AK12" s="319">
        <v>0</v>
      </c>
      <c r="AL12" s="319">
        <v>0</v>
      </c>
      <c r="AM12" s="319">
        <v>0</v>
      </c>
      <c r="AN12" s="319">
        <v>0</v>
      </c>
      <c r="AO12" s="319">
        <v>0</v>
      </c>
      <c r="AP12" s="319">
        <v>0</v>
      </c>
      <c r="AQ12" s="319">
        <v>1</v>
      </c>
      <c r="AR12" s="321">
        <v>5</v>
      </c>
      <c r="AS12" s="318">
        <v>5</v>
      </c>
      <c r="AT12" s="319">
        <v>0</v>
      </c>
      <c r="AU12" s="318">
        <v>0</v>
      </c>
      <c r="AV12" s="319">
        <v>0</v>
      </c>
      <c r="AW12" s="319">
        <v>0</v>
      </c>
      <c r="AX12" s="322">
        <f t="shared" si="7"/>
        <v>3</v>
      </c>
      <c r="AY12" s="322">
        <v>1</v>
      </c>
      <c r="AZ12" s="322">
        <v>1</v>
      </c>
      <c r="BA12" s="322">
        <v>0</v>
      </c>
      <c r="BB12" s="322">
        <v>0</v>
      </c>
      <c r="BC12" s="322">
        <v>1</v>
      </c>
    </row>
    <row r="13" spans="1:55" ht="56.25" x14ac:dyDescent="0.2">
      <c r="A13" s="314" t="s">
        <v>352</v>
      </c>
      <c r="B13" s="315">
        <v>17.66</v>
      </c>
      <c r="C13" s="315">
        <v>17.66</v>
      </c>
      <c r="D13" s="316">
        <f t="shared" si="8"/>
        <v>17.836600000000001</v>
      </c>
      <c r="E13" s="316">
        <f t="shared" si="8"/>
        <v>18.014966000000001</v>
      </c>
      <c r="F13" s="316">
        <f t="shared" si="8"/>
        <v>18.195115660000003</v>
      </c>
      <c r="G13" s="373">
        <f t="shared" si="8"/>
        <v>18.377066816600003</v>
      </c>
      <c r="H13" s="315">
        <v>28.361000000000001</v>
      </c>
      <c r="I13" s="315">
        <v>28.361000000000001</v>
      </c>
      <c r="J13" s="315">
        <v>28.361000000000001</v>
      </c>
      <c r="K13" s="316">
        <f t="shared" si="9"/>
        <v>28.64461</v>
      </c>
      <c r="L13" s="316">
        <f t="shared" si="9"/>
        <v>28.931056099999999</v>
      </c>
      <c r="M13" s="316">
        <f t="shared" si="9"/>
        <v>29.220366661</v>
      </c>
      <c r="N13" s="361">
        <v>231</v>
      </c>
      <c r="O13" s="361">
        <v>231</v>
      </c>
      <c r="P13" s="361">
        <f t="shared" si="4"/>
        <v>233.31</v>
      </c>
      <c r="Q13" s="361">
        <f t="shared" si="4"/>
        <v>235.6431</v>
      </c>
      <c r="R13" s="361">
        <f t="shared" si="4"/>
        <v>237.99953100000002</v>
      </c>
      <c r="S13" s="374">
        <f t="shared" si="4"/>
        <v>240.37952631000002</v>
      </c>
      <c r="T13" s="361">
        <v>40175</v>
      </c>
      <c r="U13" s="361">
        <v>22288</v>
      </c>
      <c r="V13" s="361">
        <v>23046</v>
      </c>
      <c r="W13" s="369">
        <v>16301</v>
      </c>
      <c r="X13" s="369">
        <v>16501</v>
      </c>
      <c r="Y13" s="369">
        <f t="shared" si="3"/>
        <v>16996.03</v>
      </c>
      <c r="Z13" s="370">
        <v>40184.160000000003</v>
      </c>
      <c r="AA13" s="370">
        <v>21774.67</v>
      </c>
      <c r="AB13" s="370">
        <v>23762</v>
      </c>
      <c r="AC13" s="370">
        <v>16041.45</v>
      </c>
      <c r="AD13" s="370">
        <v>15842.64</v>
      </c>
      <c r="AE13" s="370">
        <f t="shared" si="6"/>
        <v>16317.9192</v>
      </c>
      <c r="AF13" s="318">
        <v>1</v>
      </c>
      <c r="AG13" s="318">
        <v>1</v>
      </c>
      <c r="AH13" s="189"/>
      <c r="AI13" s="189"/>
      <c r="AJ13" s="319">
        <v>1</v>
      </c>
      <c r="AK13" s="319">
        <v>0</v>
      </c>
      <c r="AL13" s="319">
        <v>1</v>
      </c>
      <c r="AM13" s="319">
        <v>0</v>
      </c>
      <c r="AN13" s="319">
        <v>0</v>
      </c>
      <c r="AO13" s="319">
        <v>0</v>
      </c>
      <c r="AP13" s="319">
        <v>0</v>
      </c>
      <c r="AQ13" s="319">
        <v>0</v>
      </c>
      <c r="AR13" s="321">
        <v>9</v>
      </c>
      <c r="AS13" s="318">
        <v>9</v>
      </c>
      <c r="AT13" s="319">
        <v>1</v>
      </c>
      <c r="AU13" s="318">
        <v>1</v>
      </c>
      <c r="AV13" s="319">
        <v>0</v>
      </c>
      <c r="AW13" s="319">
        <v>0</v>
      </c>
      <c r="AX13" s="322">
        <f t="shared" si="7"/>
        <v>3</v>
      </c>
      <c r="AY13" s="322">
        <v>1</v>
      </c>
      <c r="AZ13" s="322">
        <v>1</v>
      </c>
      <c r="BA13" s="322">
        <v>0</v>
      </c>
      <c r="BB13" s="322">
        <v>0</v>
      </c>
      <c r="BC13" s="322">
        <v>1</v>
      </c>
    </row>
    <row r="14" spans="1:55" ht="75" x14ac:dyDescent="0.2">
      <c r="A14" s="314" t="s">
        <v>353</v>
      </c>
      <c r="B14" s="315">
        <v>3.1</v>
      </c>
      <c r="C14" s="315">
        <v>3.1</v>
      </c>
      <c r="D14" s="316">
        <f t="shared" si="8"/>
        <v>3.1310000000000002</v>
      </c>
      <c r="E14" s="316">
        <f t="shared" si="8"/>
        <v>3.1623100000000002</v>
      </c>
      <c r="F14" s="316">
        <f t="shared" si="8"/>
        <v>3.1939331000000002</v>
      </c>
      <c r="G14" s="373">
        <f t="shared" si="8"/>
        <v>3.2258724310000004</v>
      </c>
      <c r="H14" s="315">
        <v>5.9219999999999997</v>
      </c>
      <c r="I14" s="315">
        <v>5.9219999999999997</v>
      </c>
      <c r="J14" s="315">
        <v>5.9219999999999997</v>
      </c>
      <c r="K14" s="316">
        <f t="shared" si="9"/>
        <v>5.9812199999999995</v>
      </c>
      <c r="L14" s="316">
        <f t="shared" si="9"/>
        <v>6.0410321999999992</v>
      </c>
      <c r="M14" s="316">
        <f t="shared" si="9"/>
        <v>6.1014425219999993</v>
      </c>
      <c r="N14" s="361">
        <v>232</v>
      </c>
      <c r="O14" s="361">
        <v>232</v>
      </c>
      <c r="P14" s="361">
        <f t="shared" si="4"/>
        <v>234.32</v>
      </c>
      <c r="Q14" s="361">
        <f t="shared" si="4"/>
        <v>236.66319999999999</v>
      </c>
      <c r="R14" s="361">
        <f t="shared" si="4"/>
        <v>239.029832</v>
      </c>
      <c r="S14" s="374">
        <f t="shared" si="4"/>
        <v>241.42013032</v>
      </c>
      <c r="T14" s="361">
        <v>430</v>
      </c>
      <c r="U14" s="361">
        <v>37420</v>
      </c>
      <c r="V14" s="361">
        <v>34607</v>
      </c>
      <c r="W14" s="369">
        <v>25631</v>
      </c>
      <c r="X14" s="369">
        <v>25969</v>
      </c>
      <c r="Y14" s="369">
        <f t="shared" si="3"/>
        <v>26748.07</v>
      </c>
      <c r="Z14" s="370">
        <v>28548.65</v>
      </c>
      <c r="AA14" s="370">
        <v>37449.64</v>
      </c>
      <c r="AB14" s="370">
        <v>12858.48</v>
      </c>
      <c r="AC14" s="370">
        <v>25252.18</v>
      </c>
      <c r="AD14" s="370">
        <v>24965.97</v>
      </c>
      <c r="AE14" s="370">
        <f t="shared" si="6"/>
        <v>25714.949100000002</v>
      </c>
      <c r="AF14" s="318">
        <v>8</v>
      </c>
      <c r="AG14" s="318">
        <v>8</v>
      </c>
      <c r="AH14" s="189"/>
      <c r="AI14" s="189"/>
      <c r="AJ14" s="319">
        <v>0</v>
      </c>
      <c r="AK14" s="319">
        <v>0</v>
      </c>
      <c r="AL14" s="319">
        <v>0</v>
      </c>
      <c r="AM14" s="319">
        <v>0</v>
      </c>
      <c r="AN14" s="319">
        <v>0</v>
      </c>
      <c r="AO14" s="319">
        <v>0</v>
      </c>
      <c r="AP14" s="319">
        <v>0</v>
      </c>
      <c r="AQ14" s="319">
        <v>0</v>
      </c>
      <c r="AR14" s="321">
        <v>7</v>
      </c>
      <c r="AS14" s="318">
        <v>8</v>
      </c>
      <c r="AT14" s="319">
        <v>1</v>
      </c>
      <c r="AU14" s="318">
        <v>1</v>
      </c>
      <c r="AV14" s="319">
        <v>1</v>
      </c>
      <c r="AW14" s="319">
        <v>1</v>
      </c>
      <c r="AX14" s="322">
        <f t="shared" si="7"/>
        <v>3</v>
      </c>
      <c r="AY14" s="322">
        <v>1</v>
      </c>
      <c r="AZ14" s="322">
        <v>1</v>
      </c>
      <c r="BA14" s="322">
        <v>0</v>
      </c>
      <c r="BB14" s="322">
        <v>0</v>
      </c>
      <c r="BC14" s="322">
        <v>1</v>
      </c>
    </row>
    <row r="15" spans="1:55" ht="56.25" x14ac:dyDescent="0.2">
      <c r="A15" s="314" t="s">
        <v>354</v>
      </c>
      <c r="B15" s="315">
        <v>39.101999999999997</v>
      </c>
      <c r="C15" s="315">
        <v>39.101999999999997</v>
      </c>
      <c r="D15" s="315">
        <f t="shared" si="8"/>
        <v>39.493019999999994</v>
      </c>
      <c r="E15" s="315">
        <f t="shared" si="8"/>
        <v>39.887950199999992</v>
      </c>
      <c r="F15" s="315">
        <f t="shared" si="8"/>
        <v>40.286829701999991</v>
      </c>
      <c r="G15" s="373">
        <f t="shared" si="8"/>
        <v>40.689697999019991</v>
      </c>
      <c r="H15" s="315">
        <v>34.222000000000001</v>
      </c>
      <c r="I15" s="315">
        <v>34.222000000000001</v>
      </c>
      <c r="J15" s="315">
        <v>34.222000000000001</v>
      </c>
      <c r="K15" s="315">
        <v>34.22</v>
      </c>
      <c r="L15" s="315">
        <f t="shared" si="9"/>
        <v>34.562199999999997</v>
      </c>
      <c r="M15" s="315">
        <f t="shared" si="9"/>
        <v>34.907821999999996</v>
      </c>
      <c r="N15" s="361">
        <v>227</v>
      </c>
      <c r="O15" s="361">
        <v>227</v>
      </c>
      <c r="P15" s="361">
        <f t="shared" si="4"/>
        <v>229.27</v>
      </c>
      <c r="Q15" s="361">
        <f t="shared" si="4"/>
        <v>231.56270000000001</v>
      </c>
      <c r="R15" s="361">
        <f t="shared" si="4"/>
        <v>233.87832700000001</v>
      </c>
      <c r="S15" s="374">
        <f t="shared" si="4"/>
        <v>236.21711027000001</v>
      </c>
      <c r="T15" s="361">
        <v>41022</v>
      </c>
      <c r="U15" s="361">
        <v>39646</v>
      </c>
      <c r="V15" s="361">
        <v>30770</v>
      </c>
      <c r="W15" s="369">
        <v>24282</v>
      </c>
      <c r="X15" s="369">
        <v>24588</v>
      </c>
      <c r="Y15" s="369">
        <f t="shared" si="3"/>
        <v>25325.64</v>
      </c>
      <c r="Z15" s="370">
        <v>40000.46</v>
      </c>
      <c r="AA15" s="370">
        <v>39684.76</v>
      </c>
      <c r="AB15" s="370">
        <v>36189</v>
      </c>
      <c r="AC15" s="370">
        <v>23913.97</v>
      </c>
      <c r="AD15" s="370">
        <v>23617.67</v>
      </c>
      <c r="AE15" s="370">
        <f t="shared" si="6"/>
        <v>24326.200099999998</v>
      </c>
      <c r="AF15" s="318">
        <v>32</v>
      </c>
      <c r="AG15" s="318">
        <v>9</v>
      </c>
      <c r="AH15" s="189"/>
      <c r="AI15" s="189"/>
      <c r="AJ15" s="319">
        <v>1</v>
      </c>
      <c r="AK15" s="319">
        <v>1</v>
      </c>
      <c r="AL15" s="319">
        <v>0</v>
      </c>
      <c r="AM15" s="319">
        <v>0</v>
      </c>
      <c r="AN15" s="319">
        <v>0</v>
      </c>
      <c r="AO15" s="319">
        <v>0</v>
      </c>
      <c r="AP15" s="319">
        <v>0</v>
      </c>
      <c r="AQ15" s="319">
        <v>0</v>
      </c>
      <c r="AR15" s="321">
        <v>13</v>
      </c>
      <c r="AS15" s="318">
        <v>14</v>
      </c>
      <c r="AT15" s="319">
        <v>1</v>
      </c>
      <c r="AU15" s="318">
        <v>1</v>
      </c>
      <c r="AV15" s="319">
        <v>0</v>
      </c>
      <c r="AW15" s="319">
        <v>0</v>
      </c>
      <c r="AX15" s="322">
        <f t="shared" si="7"/>
        <v>3</v>
      </c>
      <c r="AY15" s="322">
        <v>1</v>
      </c>
      <c r="AZ15" s="322">
        <v>1</v>
      </c>
      <c r="BA15" s="322">
        <v>0</v>
      </c>
      <c r="BB15" s="322">
        <v>0</v>
      </c>
      <c r="BC15" s="322">
        <v>1</v>
      </c>
    </row>
    <row r="16" spans="1:55" ht="56.25" x14ac:dyDescent="0.2">
      <c r="A16" s="314" t="s">
        <v>355</v>
      </c>
      <c r="B16" s="315">
        <v>32.630000000000003</v>
      </c>
      <c r="C16" s="315">
        <v>32.630000000000003</v>
      </c>
      <c r="D16" s="315">
        <f t="shared" si="8"/>
        <v>32.956300000000006</v>
      </c>
      <c r="E16" s="315">
        <f t="shared" si="8"/>
        <v>33.285863000000006</v>
      </c>
      <c r="F16" s="315">
        <f t="shared" si="8"/>
        <v>33.618721630000003</v>
      </c>
      <c r="G16" s="373">
        <f t="shared" si="8"/>
        <v>33.9549088463</v>
      </c>
      <c r="H16" s="315">
        <v>13.12</v>
      </c>
      <c r="I16" s="315">
        <v>13.12</v>
      </c>
      <c r="J16" s="315">
        <v>13.12</v>
      </c>
      <c r="K16" s="315">
        <f t="shared" si="9"/>
        <v>13.251199999999999</v>
      </c>
      <c r="L16" s="315">
        <f t="shared" si="9"/>
        <v>13.383711999999999</v>
      </c>
      <c r="M16" s="315">
        <f t="shared" si="9"/>
        <v>13.51754912</v>
      </c>
      <c r="N16" s="361">
        <v>124</v>
      </c>
      <c r="O16" s="361">
        <v>124</v>
      </c>
      <c r="P16" s="361">
        <f t="shared" si="4"/>
        <v>125.24</v>
      </c>
      <c r="Q16" s="361">
        <f t="shared" si="4"/>
        <v>126.49239999999999</v>
      </c>
      <c r="R16" s="361">
        <f t="shared" si="4"/>
        <v>127.757324</v>
      </c>
      <c r="S16" s="374">
        <f t="shared" si="4"/>
        <v>129.03489723999999</v>
      </c>
      <c r="T16" s="361">
        <v>47691</v>
      </c>
      <c r="U16" s="361">
        <v>15079</v>
      </c>
      <c r="V16" s="361">
        <v>15644</v>
      </c>
      <c r="W16" s="369">
        <v>13159</v>
      </c>
      <c r="X16" s="369">
        <v>13320</v>
      </c>
      <c r="Y16" s="369">
        <f t="shared" si="3"/>
        <v>13719.6</v>
      </c>
      <c r="Z16" s="370">
        <v>47497.79</v>
      </c>
      <c r="AA16" s="370">
        <v>15021.64</v>
      </c>
      <c r="AB16" s="370">
        <v>5500.82</v>
      </c>
      <c r="AC16" s="370">
        <v>12937.62</v>
      </c>
      <c r="AD16" s="370">
        <v>12778.72</v>
      </c>
      <c r="AE16" s="370">
        <f t="shared" si="6"/>
        <v>13162.0816</v>
      </c>
      <c r="AF16" s="318">
        <v>1</v>
      </c>
      <c r="AG16" s="318">
        <v>1</v>
      </c>
      <c r="AH16" s="189"/>
      <c r="AI16" s="189"/>
      <c r="AJ16" s="319">
        <v>1</v>
      </c>
      <c r="AK16" s="319">
        <v>0</v>
      </c>
      <c r="AL16" s="319">
        <v>1</v>
      </c>
      <c r="AM16" s="319">
        <v>0</v>
      </c>
      <c r="AN16" s="319">
        <v>0</v>
      </c>
      <c r="AO16" s="319">
        <v>0</v>
      </c>
      <c r="AP16" s="319">
        <v>0</v>
      </c>
      <c r="AQ16" s="319">
        <v>0</v>
      </c>
      <c r="AR16" s="321">
        <v>7</v>
      </c>
      <c r="AS16" s="318">
        <v>7</v>
      </c>
      <c r="AT16" s="319">
        <v>0</v>
      </c>
      <c r="AU16" s="318">
        <v>0</v>
      </c>
      <c r="AV16" s="319">
        <v>0</v>
      </c>
      <c r="AW16" s="319">
        <v>0</v>
      </c>
      <c r="AX16" s="322">
        <f t="shared" si="7"/>
        <v>3</v>
      </c>
      <c r="AY16" s="322">
        <v>1</v>
      </c>
      <c r="AZ16" s="322">
        <v>1</v>
      </c>
      <c r="BA16" s="322">
        <v>0</v>
      </c>
      <c r="BB16" s="322">
        <v>0</v>
      </c>
      <c r="BC16" s="322">
        <v>1</v>
      </c>
    </row>
    <row r="17" spans="1:55" ht="56.25" x14ac:dyDescent="0.2">
      <c r="A17" s="314" t="s">
        <v>356</v>
      </c>
      <c r="B17" s="315">
        <v>0.78</v>
      </c>
      <c r="C17" s="315">
        <v>0.78</v>
      </c>
      <c r="D17" s="315">
        <f t="shared" si="8"/>
        <v>0.78780000000000006</v>
      </c>
      <c r="E17" s="315">
        <f t="shared" si="8"/>
        <v>0.79567800000000011</v>
      </c>
      <c r="F17" s="315">
        <f t="shared" si="8"/>
        <v>0.8036347800000001</v>
      </c>
      <c r="G17" s="373">
        <f t="shared" si="8"/>
        <v>0.81167112780000006</v>
      </c>
      <c r="H17" s="315">
        <v>7.9080000000000004</v>
      </c>
      <c r="I17" s="315">
        <v>7.9080000000000004</v>
      </c>
      <c r="J17" s="315">
        <v>7.9080000000000004</v>
      </c>
      <c r="K17" s="315">
        <f t="shared" si="9"/>
        <v>7.9870800000000006</v>
      </c>
      <c r="L17" s="315">
        <f t="shared" si="9"/>
        <v>8.0669508000000008</v>
      </c>
      <c r="M17" s="315">
        <f t="shared" si="9"/>
        <v>8.1476203080000005</v>
      </c>
      <c r="N17" s="361">
        <v>101</v>
      </c>
      <c r="O17" s="361">
        <v>101</v>
      </c>
      <c r="P17" s="361">
        <f t="shared" si="4"/>
        <v>102.01</v>
      </c>
      <c r="Q17" s="361">
        <f t="shared" si="4"/>
        <v>103.0301</v>
      </c>
      <c r="R17" s="361">
        <f t="shared" si="4"/>
        <v>104.060401</v>
      </c>
      <c r="S17" s="374">
        <f t="shared" si="4"/>
        <v>105.10100500999999</v>
      </c>
      <c r="T17" s="361">
        <v>17605</v>
      </c>
      <c r="U17" s="361">
        <v>25770</v>
      </c>
      <c r="V17" s="361">
        <v>21861</v>
      </c>
      <c r="W17" s="369">
        <v>16634</v>
      </c>
      <c r="X17" s="369">
        <v>16843</v>
      </c>
      <c r="Y17" s="369">
        <f t="shared" si="3"/>
        <v>17348.29</v>
      </c>
      <c r="Z17" s="370">
        <v>17458.55</v>
      </c>
      <c r="AA17" s="370">
        <v>25610.22</v>
      </c>
      <c r="AB17" s="370">
        <v>22547</v>
      </c>
      <c r="AC17" s="370">
        <v>16332.93</v>
      </c>
      <c r="AD17" s="370">
        <v>16133.22</v>
      </c>
      <c r="AE17" s="370">
        <f t="shared" si="6"/>
        <v>16617.2166</v>
      </c>
      <c r="AF17" s="318">
        <v>3</v>
      </c>
      <c r="AG17" s="318">
        <v>3</v>
      </c>
      <c r="AH17" s="189"/>
      <c r="AI17" s="189"/>
      <c r="AJ17" s="319">
        <v>0</v>
      </c>
      <c r="AK17" s="319">
        <v>0</v>
      </c>
      <c r="AL17" s="319">
        <v>0</v>
      </c>
      <c r="AM17" s="319">
        <v>0</v>
      </c>
      <c r="AN17" s="319">
        <v>0</v>
      </c>
      <c r="AO17" s="319">
        <v>0</v>
      </c>
      <c r="AP17" s="319">
        <v>0</v>
      </c>
      <c r="AQ17" s="319">
        <v>0</v>
      </c>
      <c r="AR17" s="321">
        <v>7</v>
      </c>
      <c r="AS17" s="318">
        <v>6</v>
      </c>
      <c r="AT17" s="319">
        <v>0</v>
      </c>
      <c r="AU17" s="318">
        <v>0</v>
      </c>
      <c r="AV17" s="319">
        <v>0</v>
      </c>
      <c r="AW17" s="319">
        <v>0</v>
      </c>
      <c r="AX17" s="322">
        <f t="shared" si="7"/>
        <v>3</v>
      </c>
      <c r="AY17" s="322">
        <v>1</v>
      </c>
      <c r="AZ17" s="322">
        <v>1</v>
      </c>
      <c r="BA17" s="322">
        <v>0</v>
      </c>
      <c r="BB17" s="322">
        <v>0</v>
      </c>
      <c r="BC17" s="322">
        <v>1</v>
      </c>
    </row>
    <row r="18" spans="1:55" ht="56.25" x14ac:dyDescent="0.2">
      <c r="A18" s="314" t="s">
        <v>357</v>
      </c>
      <c r="B18" s="315">
        <v>41.36</v>
      </c>
      <c r="C18" s="315">
        <v>41.36</v>
      </c>
      <c r="D18" s="315">
        <f t="shared" si="8"/>
        <v>41.773600000000002</v>
      </c>
      <c r="E18" s="315">
        <f t="shared" si="8"/>
        <v>42.191336</v>
      </c>
      <c r="F18" s="315">
        <f t="shared" si="8"/>
        <v>42.613249359999998</v>
      </c>
      <c r="G18" s="373">
        <f t="shared" si="8"/>
        <v>43.039381853599998</v>
      </c>
      <c r="H18" s="315">
        <v>34.121000000000002</v>
      </c>
      <c r="I18" s="315">
        <v>34.121000000000002</v>
      </c>
      <c r="J18" s="315">
        <v>34.121000000000002</v>
      </c>
      <c r="K18" s="315">
        <v>34.21</v>
      </c>
      <c r="L18" s="315">
        <f t="shared" si="9"/>
        <v>34.552100000000003</v>
      </c>
      <c r="M18" s="315">
        <f t="shared" si="9"/>
        <v>34.897621000000001</v>
      </c>
      <c r="N18" s="361">
        <v>213</v>
      </c>
      <c r="O18" s="361">
        <v>213</v>
      </c>
      <c r="P18" s="361">
        <f t="shared" si="4"/>
        <v>215.13</v>
      </c>
      <c r="Q18" s="361">
        <f t="shared" si="4"/>
        <v>217.28129999999999</v>
      </c>
      <c r="R18" s="361">
        <f t="shared" si="4"/>
        <v>219.45411299999998</v>
      </c>
      <c r="S18" s="374">
        <f t="shared" si="4"/>
        <v>221.64865412999998</v>
      </c>
      <c r="T18" s="361">
        <v>179801</v>
      </c>
      <c r="U18" s="361">
        <v>35213</v>
      </c>
      <c r="V18" s="361">
        <v>48205</v>
      </c>
      <c r="W18" s="369">
        <v>28661</v>
      </c>
      <c r="X18" s="369">
        <v>29083</v>
      </c>
      <c r="Y18" s="369">
        <f t="shared" si="3"/>
        <v>29955.49</v>
      </c>
      <c r="Z18" s="370">
        <v>182147.34</v>
      </c>
      <c r="AA18" s="370">
        <v>35298.51</v>
      </c>
      <c r="AB18" s="370">
        <v>12041.71</v>
      </c>
      <c r="AC18" s="370">
        <v>28303.98</v>
      </c>
      <c r="AD18" s="370">
        <v>28024.68</v>
      </c>
      <c r="AE18" s="370">
        <f t="shared" si="6"/>
        <v>28865.420400000003</v>
      </c>
      <c r="AF18" s="318">
        <v>26</v>
      </c>
      <c r="AG18" s="318">
        <v>7</v>
      </c>
      <c r="AH18" s="189"/>
      <c r="AI18" s="189"/>
      <c r="AJ18" s="319">
        <v>2</v>
      </c>
      <c r="AK18" s="319">
        <v>0</v>
      </c>
      <c r="AL18" s="319">
        <v>1</v>
      </c>
      <c r="AM18" s="319">
        <v>0</v>
      </c>
      <c r="AN18" s="319">
        <v>0</v>
      </c>
      <c r="AO18" s="319">
        <v>0</v>
      </c>
      <c r="AP18" s="319">
        <v>0</v>
      </c>
      <c r="AQ18" s="319">
        <v>1</v>
      </c>
      <c r="AR18" s="321">
        <v>14</v>
      </c>
      <c r="AS18" s="318">
        <v>10</v>
      </c>
      <c r="AT18" s="319">
        <v>3</v>
      </c>
      <c r="AU18" s="318">
        <v>3</v>
      </c>
      <c r="AV18" s="319">
        <v>1</v>
      </c>
      <c r="AW18" s="319">
        <v>1</v>
      </c>
      <c r="AX18" s="322">
        <f t="shared" si="7"/>
        <v>3</v>
      </c>
      <c r="AY18" s="322">
        <v>1</v>
      </c>
      <c r="AZ18" s="322">
        <v>1</v>
      </c>
      <c r="BA18" s="322">
        <v>0</v>
      </c>
      <c r="BB18" s="322">
        <v>0</v>
      </c>
      <c r="BC18" s="322">
        <v>1</v>
      </c>
    </row>
    <row r="19" spans="1:55" ht="56.25" x14ac:dyDescent="0.2">
      <c r="A19" s="314" t="s">
        <v>358</v>
      </c>
      <c r="B19" s="315">
        <v>59.243000000000002</v>
      </c>
      <c r="C19" s="315">
        <v>59.243000000000002</v>
      </c>
      <c r="D19" s="315">
        <f t="shared" si="8"/>
        <v>59.835430000000002</v>
      </c>
      <c r="E19" s="315">
        <f t="shared" si="8"/>
        <v>60.433784300000006</v>
      </c>
      <c r="F19" s="315">
        <f t="shared" si="8"/>
        <v>61.03812214300001</v>
      </c>
      <c r="G19" s="373">
        <f t="shared" si="8"/>
        <v>61.648503364430013</v>
      </c>
      <c r="H19" s="315">
        <v>38.078000000000003</v>
      </c>
      <c r="I19" s="315">
        <v>38.078000000000003</v>
      </c>
      <c r="J19" s="315">
        <v>38.078000000000003</v>
      </c>
      <c r="K19" s="315">
        <v>38.1</v>
      </c>
      <c r="L19" s="315">
        <f t="shared" si="9"/>
        <v>38.481000000000002</v>
      </c>
      <c r="M19" s="315">
        <f t="shared" si="9"/>
        <v>38.865810000000003</v>
      </c>
      <c r="N19" s="361">
        <v>235</v>
      </c>
      <c r="O19" s="361">
        <v>235</v>
      </c>
      <c r="P19" s="361">
        <f t="shared" si="4"/>
        <v>237.35</v>
      </c>
      <c r="Q19" s="361">
        <f t="shared" si="4"/>
        <v>239.7235</v>
      </c>
      <c r="R19" s="361">
        <f t="shared" si="4"/>
        <v>242.120735</v>
      </c>
      <c r="S19" s="374">
        <f t="shared" si="4"/>
        <v>244.54194235</v>
      </c>
      <c r="T19" s="361">
        <v>21743</v>
      </c>
      <c r="U19" s="361">
        <v>28050</v>
      </c>
      <c r="V19" s="361">
        <v>35559</v>
      </c>
      <c r="W19" s="369">
        <v>23293</v>
      </c>
      <c r="X19" s="369">
        <v>20207</v>
      </c>
      <c r="Y19" s="369">
        <f t="shared" si="3"/>
        <v>20813.21</v>
      </c>
      <c r="Z19" s="370">
        <v>21607.33</v>
      </c>
      <c r="AA19" s="370">
        <v>27946.22</v>
      </c>
      <c r="AB19" s="370">
        <v>36189</v>
      </c>
      <c r="AC19" s="370">
        <v>22956.73</v>
      </c>
      <c r="AD19" s="370">
        <v>19424.61</v>
      </c>
      <c r="AE19" s="370">
        <f t="shared" si="6"/>
        <v>20007.348300000001</v>
      </c>
      <c r="AF19" s="318">
        <v>1</v>
      </c>
      <c r="AG19" s="318">
        <v>1</v>
      </c>
      <c r="AH19" s="189"/>
      <c r="AI19" s="189"/>
      <c r="AJ19" s="319">
        <v>1</v>
      </c>
      <c r="AK19" s="319">
        <v>0</v>
      </c>
      <c r="AL19" s="319">
        <v>1</v>
      </c>
      <c r="AM19" s="319">
        <v>0</v>
      </c>
      <c r="AN19" s="319">
        <v>0</v>
      </c>
      <c r="AO19" s="319">
        <v>0</v>
      </c>
      <c r="AP19" s="319">
        <v>0</v>
      </c>
      <c r="AQ19" s="319">
        <v>0</v>
      </c>
      <c r="AR19" s="321">
        <v>10</v>
      </c>
      <c r="AS19" s="318">
        <v>8</v>
      </c>
      <c r="AT19" s="319">
        <v>2</v>
      </c>
      <c r="AU19" s="318">
        <v>2</v>
      </c>
      <c r="AV19" s="319">
        <v>0</v>
      </c>
      <c r="AW19" s="319">
        <v>0</v>
      </c>
      <c r="AX19" s="322">
        <f t="shared" si="7"/>
        <v>3</v>
      </c>
      <c r="AY19" s="322">
        <v>1</v>
      </c>
      <c r="AZ19" s="322">
        <v>1</v>
      </c>
      <c r="BA19" s="322">
        <v>0</v>
      </c>
      <c r="BB19" s="322">
        <v>0</v>
      </c>
      <c r="BC19" s="322">
        <v>1</v>
      </c>
    </row>
    <row r="20" spans="1:55" ht="56.25" x14ac:dyDescent="0.2">
      <c r="A20" s="314" t="s">
        <v>359</v>
      </c>
      <c r="B20" s="315">
        <v>0.54</v>
      </c>
      <c r="C20" s="315">
        <v>0.54</v>
      </c>
      <c r="D20" s="315">
        <f t="shared" si="8"/>
        <v>0.5454</v>
      </c>
      <c r="E20" s="315">
        <f t="shared" si="8"/>
        <v>0.55085399999999995</v>
      </c>
      <c r="F20" s="315">
        <f t="shared" si="8"/>
        <v>0.55636253999999996</v>
      </c>
      <c r="G20" s="373">
        <f t="shared" si="8"/>
        <v>0.56192616539999996</v>
      </c>
      <c r="H20" s="315">
        <v>36.744</v>
      </c>
      <c r="I20" s="315">
        <v>36.744</v>
      </c>
      <c r="J20" s="315">
        <v>36.744</v>
      </c>
      <c r="K20" s="315">
        <v>36.770000000000003</v>
      </c>
      <c r="L20" s="315">
        <f t="shared" si="9"/>
        <v>37.137700000000002</v>
      </c>
      <c r="M20" s="315">
        <f t="shared" si="9"/>
        <v>37.509077000000005</v>
      </c>
      <c r="N20" s="317">
        <v>206</v>
      </c>
      <c r="O20" s="317">
        <v>206</v>
      </c>
      <c r="P20" s="317">
        <f t="shared" si="4"/>
        <v>208.06</v>
      </c>
      <c r="Q20" s="317">
        <f t="shared" si="4"/>
        <v>210.14060000000001</v>
      </c>
      <c r="R20" s="317">
        <f t="shared" si="4"/>
        <v>212.242006</v>
      </c>
      <c r="S20" s="374">
        <f t="shared" si="4"/>
        <v>214.36442606</v>
      </c>
      <c r="T20" s="361">
        <v>35866</v>
      </c>
      <c r="U20" s="361">
        <v>41547</v>
      </c>
      <c r="V20" s="361">
        <v>27561</v>
      </c>
      <c r="W20" s="369">
        <v>22816</v>
      </c>
      <c r="X20" s="369">
        <v>19951</v>
      </c>
      <c r="Y20" s="369">
        <f t="shared" si="3"/>
        <v>20549.53</v>
      </c>
      <c r="Z20" s="370">
        <v>21533.3</v>
      </c>
      <c r="AA20" s="370">
        <v>52902.19</v>
      </c>
      <c r="AB20" s="370">
        <v>30930</v>
      </c>
      <c r="AC20" s="370">
        <v>22541.75</v>
      </c>
      <c r="AD20" s="370">
        <v>19190.89</v>
      </c>
      <c r="AE20" s="370">
        <f t="shared" si="6"/>
        <v>19766.616699999999</v>
      </c>
      <c r="AF20" s="318">
        <v>2</v>
      </c>
      <c r="AG20" s="318">
        <v>2</v>
      </c>
      <c r="AH20" s="189"/>
      <c r="AI20" s="189"/>
      <c r="AJ20" s="319">
        <v>0</v>
      </c>
      <c r="AK20" s="319">
        <v>0</v>
      </c>
      <c r="AL20" s="319">
        <v>0</v>
      </c>
      <c r="AM20" s="319">
        <v>0</v>
      </c>
      <c r="AN20" s="319">
        <v>0</v>
      </c>
      <c r="AO20" s="319">
        <v>0</v>
      </c>
      <c r="AP20" s="319">
        <v>0</v>
      </c>
      <c r="AQ20" s="319">
        <v>0</v>
      </c>
      <c r="AR20" s="321">
        <v>7</v>
      </c>
      <c r="AS20" s="318">
        <v>7</v>
      </c>
      <c r="AT20" s="319">
        <v>0</v>
      </c>
      <c r="AU20" s="318">
        <v>0</v>
      </c>
      <c r="AV20" s="319">
        <v>0</v>
      </c>
      <c r="AW20" s="319">
        <v>0</v>
      </c>
      <c r="AX20" s="322">
        <f t="shared" si="7"/>
        <v>4</v>
      </c>
      <c r="AY20" s="322">
        <v>1</v>
      </c>
      <c r="AZ20" s="322">
        <v>1</v>
      </c>
      <c r="BA20" s="322">
        <v>0</v>
      </c>
      <c r="BB20" s="322">
        <v>0</v>
      </c>
      <c r="BC20" s="322">
        <v>2</v>
      </c>
    </row>
    <row r="21" spans="1:55" ht="75" x14ac:dyDescent="0.2">
      <c r="A21" s="314" t="s">
        <v>360</v>
      </c>
      <c r="B21" s="315">
        <v>38.229999999999997</v>
      </c>
      <c r="C21" s="315">
        <v>38.229999999999997</v>
      </c>
      <c r="D21" s="315">
        <f t="shared" si="8"/>
        <v>38.612299999999998</v>
      </c>
      <c r="E21" s="315">
        <f t="shared" si="8"/>
        <v>38.998422999999995</v>
      </c>
      <c r="F21" s="315">
        <f t="shared" si="8"/>
        <v>39.388407229999999</v>
      </c>
      <c r="G21" s="373">
        <f t="shared" si="8"/>
        <v>39.782291302299996</v>
      </c>
      <c r="H21" s="315">
        <v>9.0210000000000008</v>
      </c>
      <c r="I21" s="315">
        <v>9.0210000000000008</v>
      </c>
      <c r="J21" s="315">
        <v>9.0210000000000008</v>
      </c>
      <c r="K21" s="315">
        <f t="shared" si="9"/>
        <v>9.1112100000000016</v>
      </c>
      <c r="L21" s="315">
        <f t="shared" si="9"/>
        <v>9.2023221000000017</v>
      </c>
      <c r="M21" s="315">
        <f t="shared" si="9"/>
        <v>9.2943453210000015</v>
      </c>
      <c r="N21" s="317">
        <v>202</v>
      </c>
      <c r="O21" s="317">
        <v>202</v>
      </c>
      <c r="P21" s="317">
        <f t="shared" si="4"/>
        <v>204.02</v>
      </c>
      <c r="Q21" s="317">
        <f t="shared" si="4"/>
        <v>206.06020000000001</v>
      </c>
      <c r="R21" s="317">
        <f t="shared" si="4"/>
        <v>208.120802</v>
      </c>
      <c r="S21" s="374">
        <f t="shared" si="4"/>
        <v>210.20201001999999</v>
      </c>
      <c r="T21" s="361">
        <v>29269</v>
      </c>
      <c r="U21" s="361">
        <v>202018</v>
      </c>
      <c r="V21" s="361">
        <v>28472</v>
      </c>
      <c r="W21" s="369">
        <v>22204</v>
      </c>
      <c r="X21" s="369">
        <v>22482</v>
      </c>
      <c r="Y21" s="369">
        <f t="shared" si="3"/>
        <v>23156.46</v>
      </c>
      <c r="Z21" s="370">
        <v>33824.92</v>
      </c>
      <c r="AA21" s="370">
        <v>201774.86</v>
      </c>
      <c r="AB21" s="370">
        <v>46048.68</v>
      </c>
      <c r="AC21" s="370">
        <v>21846.32</v>
      </c>
      <c r="AD21" s="370">
        <v>21575.200000000001</v>
      </c>
      <c r="AE21" s="370">
        <f t="shared" si="6"/>
        <v>22222.456000000002</v>
      </c>
      <c r="AF21" s="318">
        <v>30</v>
      </c>
      <c r="AG21" s="318">
        <v>8</v>
      </c>
      <c r="AH21" s="189"/>
      <c r="AI21" s="189"/>
      <c r="AJ21" s="319">
        <v>1</v>
      </c>
      <c r="AK21" s="319">
        <v>1</v>
      </c>
      <c r="AL21" s="319">
        <v>0</v>
      </c>
      <c r="AM21" s="319">
        <v>0</v>
      </c>
      <c r="AN21" s="319">
        <v>0</v>
      </c>
      <c r="AO21" s="319">
        <v>0</v>
      </c>
      <c r="AP21" s="319">
        <v>0</v>
      </c>
      <c r="AQ21" s="319">
        <v>0</v>
      </c>
      <c r="AR21" s="321">
        <v>10</v>
      </c>
      <c r="AS21" s="318">
        <v>9</v>
      </c>
      <c r="AT21" s="319">
        <v>3</v>
      </c>
      <c r="AU21" s="318">
        <v>3</v>
      </c>
      <c r="AV21" s="319">
        <v>1</v>
      </c>
      <c r="AW21" s="319">
        <v>1</v>
      </c>
      <c r="AX21" s="322">
        <f t="shared" si="7"/>
        <v>3</v>
      </c>
      <c r="AY21" s="322">
        <v>1</v>
      </c>
      <c r="AZ21" s="322">
        <v>1</v>
      </c>
      <c r="BA21" s="322">
        <v>0</v>
      </c>
      <c r="BB21" s="322">
        <v>0</v>
      </c>
      <c r="BC21" s="322">
        <v>1</v>
      </c>
    </row>
    <row r="22" spans="1:55" ht="56.25" x14ac:dyDescent="0.2">
      <c r="A22" s="314" t="s">
        <v>361</v>
      </c>
      <c r="B22" s="315">
        <v>0.41</v>
      </c>
      <c r="C22" s="315">
        <v>0.41</v>
      </c>
      <c r="D22" s="315">
        <f t="shared" si="8"/>
        <v>0.41409999999999997</v>
      </c>
      <c r="E22" s="315">
        <f t="shared" si="8"/>
        <v>0.41824099999999997</v>
      </c>
      <c r="F22" s="315">
        <f t="shared" si="8"/>
        <v>0.42242341</v>
      </c>
      <c r="G22" s="373">
        <f t="shared" si="8"/>
        <v>0.4266476441</v>
      </c>
      <c r="H22" s="315">
        <v>5.6020000000000003</v>
      </c>
      <c r="I22" s="315">
        <v>5.6020000000000003</v>
      </c>
      <c r="J22" s="315">
        <v>5.6020000000000003</v>
      </c>
      <c r="K22" s="315">
        <f t="shared" si="9"/>
        <v>5.6580200000000005</v>
      </c>
      <c r="L22" s="315">
        <f t="shared" si="9"/>
        <v>5.7146002000000005</v>
      </c>
      <c r="M22" s="315">
        <f t="shared" si="9"/>
        <v>5.7717462020000001</v>
      </c>
      <c r="N22" s="317">
        <v>48</v>
      </c>
      <c r="O22" s="317">
        <v>48</v>
      </c>
      <c r="P22" s="317">
        <f t="shared" si="4"/>
        <v>48.480000000000004</v>
      </c>
      <c r="Q22" s="317">
        <f t="shared" si="4"/>
        <v>48.964800000000004</v>
      </c>
      <c r="R22" s="317">
        <f t="shared" si="4"/>
        <v>49.454448000000006</v>
      </c>
      <c r="S22" s="374">
        <f t="shared" si="4"/>
        <v>49.948992480000008</v>
      </c>
      <c r="T22" s="361">
        <v>16588</v>
      </c>
      <c r="U22" s="361">
        <v>16419</v>
      </c>
      <c r="V22" s="361">
        <v>13540</v>
      </c>
      <c r="W22" s="369">
        <v>11399</v>
      </c>
      <c r="X22" s="369">
        <v>11550</v>
      </c>
      <c r="Y22" s="369">
        <f t="shared" si="3"/>
        <v>11896.5</v>
      </c>
      <c r="Z22" s="370">
        <v>15973.47</v>
      </c>
      <c r="AA22" s="370">
        <v>17048.63</v>
      </c>
      <c r="AB22" s="370">
        <v>5381.12</v>
      </c>
      <c r="AC22" s="370">
        <v>11207.57</v>
      </c>
      <c r="AD22" s="370">
        <v>1108321</v>
      </c>
      <c r="AE22" s="370">
        <f t="shared" si="6"/>
        <v>1141570.6300000001</v>
      </c>
      <c r="AF22" s="318">
        <v>1</v>
      </c>
      <c r="AG22" s="318">
        <v>1</v>
      </c>
      <c r="AH22" s="189"/>
      <c r="AI22" s="189"/>
      <c r="AJ22" s="319">
        <v>0</v>
      </c>
      <c r="AK22" s="319">
        <v>0</v>
      </c>
      <c r="AL22" s="319">
        <v>0</v>
      </c>
      <c r="AM22" s="319">
        <v>0</v>
      </c>
      <c r="AN22" s="319">
        <v>0</v>
      </c>
      <c r="AO22" s="319">
        <v>0</v>
      </c>
      <c r="AP22" s="319">
        <v>0</v>
      </c>
      <c r="AQ22" s="319">
        <v>0</v>
      </c>
      <c r="AR22" s="321">
        <v>4</v>
      </c>
      <c r="AS22" s="318">
        <v>4</v>
      </c>
      <c r="AT22" s="319">
        <v>0</v>
      </c>
      <c r="AU22" s="318">
        <v>0</v>
      </c>
      <c r="AV22" s="319">
        <v>0</v>
      </c>
      <c r="AW22" s="319">
        <v>0</v>
      </c>
      <c r="AX22" s="322">
        <f t="shared" si="7"/>
        <v>2</v>
      </c>
      <c r="AY22" s="322">
        <v>0</v>
      </c>
      <c r="AZ22" s="322">
        <v>1</v>
      </c>
      <c r="BA22" s="322">
        <v>0</v>
      </c>
      <c r="BB22" s="322">
        <v>0</v>
      </c>
      <c r="BC22" s="322">
        <v>1</v>
      </c>
    </row>
    <row r="23" spans="1:55" ht="19.5" x14ac:dyDescent="0.2">
      <c r="A23" s="188" t="s">
        <v>156</v>
      </c>
      <c r="B23" s="365">
        <f t="shared" ref="B23:AE23" si="10">SUM(B8:B22)</f>
        <v>3073.4500000000003</v>
      </c>
      <c r="C23" s="44">
        <f t="shared" si="10"/>
        <v>3198.5509999999999</v>
      </c>
      <c r="D23" s="44">
        <f t="shared" si="10"/>
        <v>3377.1712699999989</v>
      </c>
      <c r="E23" s="44">
        <f t="shared" si="10"/>
        <v>3547.4858826999994</v>
      </c>
      <c r="F23" s="44">
        <f t="shared" si="10"/>
        <v>3691.561576526999</v>
      </c>
      <c r="G23" s="44">
        <f t="shared" si="10"/>
        <v>3794.2180922922694</v>
      </c>
      <c r="H23" s="365">
        <f t="shared" si="10"/>
        <v>3455.2100000000005</v>
      </c>
      <c r="I23" s="44">
        <f t="shared" si="10"/>
        <v>3469.7821000000004</v>
      </c>
      <c r="J23" s="44">
        <f t="shared" si="10"/>
        <v>3537.0930000000008</v>
      </c>
      <c r="K23" s="44">
        <f t="shared" si="10"/>
        <v>3774.8598999999995</v>
      </c>
      <c r="L23" s="44">
        <f t="shared" si="10"/>
        <v>3905.8061989999997</v>
      </c>
      <c r="M23" s="44">
        <f t="shared" si="10"/>
        <v>4259.4192609900001</v>
      </c>
      <c r="N23" s="44">
        <f t="shared" si="10"/>
        <v>5810</v>
      </c>
      <c r="O23" s="44">
        <f t="shared" si="10"/>
        <v>5769</v>
      </c>
      <c r="P23" s="44">
        <f t="shared" si="10"/>
        <v>5776.6000000000013</v>
      </c>
      <c r="Q23" s="44">
        <f t="shared" si="10"/>
        <v>6010.6268999999993</v>
      </c>
      <c r="R23" s="44">
        <f t="shared" si="10"/>
        <v>6066.7631690000017</v>
      </c>
      <c r="S23" s="44">
        <f t="shared" si="10"/>
        <v>6369.9008006900003</v>
      </c>
      <c r="T23" s="44">
        <f t="shared" si="10"/>
        <v>1035218</v>
      </c>
      <c r="U23" s="44">
        <f t="shared" si="10"/>
        <v>1196343</v>
      </c>
      <c r="V23" s="44">
        <f t="shared" si="10"/>
        <v>521623</v>
      </c>
      <c r="W23" s="44">
        <f t="shared" si="10"/>
        <v>438023.35</v>
      </c>
      <c r="X23" s="44">
        <f t="shared" si="10"/>
        <v>440683.33049999998</v>
      </c>
      <c r="Y23" s="44">
        <f t="shared" si="10"/>
        <v>453903.83041500003</v>
      </c>
      <c r="Z23" s="365">
        <f t="shared" si="10"/>
        <v>1053386.9200000002</v>
      </c>
      <c r="AA23" s="44">
        <f t="shared" si="10"/>
        <v>1206172.83</v>
      </c>
      <c r="AB23" s="44">
        <f t="shared" si="10"/>
        <v>490136.01999999996</v>
      </c>
      <c r="AC23" s="44">
        <f t="shared" si="10"/>
        <v>401590.45</v>
      </c>
      <c r="AD23" s="44">
        <f t="shared" si="10"/>
        <v>1488634.82</v>
      </c>
      <c r="AE23" s="44">
        <f t="shared" si="10"/>
        <v>1533293.8646000002</v>
      </c>
      <c r="AF23" s="364">
        <f>SUM(AF8:AF22)</f>
        <v>211</v>
      </c>
      <c r="AG23" s="364">
        <f>SUM(AG8:AG22)</f>
        <v>91</v>
      </c>
      <c r="AH23" s="189"/>
      <c r="AI23" s="189"/>
      <c r="AJ23" s="364">
        <f t="shared" ref="AJ23:BC23" si="11">SUM(AJ8:AJ22)</f>
        <v>21</v>
      </c>
      <c r="AK23" s="364">
        <f t="shared" si="11"/>
        <v>3</v>
      </c>
      <c r="AL23" s="364">
        <f t="shared" si="11"/>
        <v>5</v>
      </c>
      <c r="AM23" s="364">
        <f t="shared" si="11"/>
        <v>1</v>
      </c>
      <c r="AN23" s="364">
        <f t="shared" si="11"/>
        <v>0</v>
      </c>
      <c r="AO23" s="364">
        <f t="shared" si="11"/>
        <v>3</v>
      </c>
      <c r="AP23" s="364">
        <f t="shared" si="11"/>
        <v>2</v>
      </c>
      <c r="AQ23" s="364">
        <f t="shared" si="11"/>
        <v>7</v>
      </c>
      <c r="AR23" s="364">
        <f t="shared" si="11"/>
        <v>387</v>
      </c>
      <c r="AS23" s="364">
        <f t="shared" si="11"/>
        <v>399</v>
      </c>
      <c r="AT23" s="364">
        <f t="shared" si="11"/>
        <v>70</v>
      </c>
      <c r="AU23" s="364">
        <f t="shared" si="11"/>
        <v>72</v>
      </c>
      <c r="AV23" s="364">
        <f t="shared" si="11"/>
        <v>28</v>
      </c>
      <c r="AW23" s="364">
        <f t="shared" si="11"/>
        <v>28</v>
      </c>
      <c r="AX23" s="364">
        <f t="shared" si="11"/>
        <v>62</v>
      </c>
      <c r="AY23" s="364">
        <f t="shared" si="11"/>
        <v>19</v>
      </c>
      <c r="AZ23" s="364">
        <f t="shared" si="11"/>
        <v>18</v>
      </c>
      <c r="BA23" s="364">
        <f t="shared" si="11"/>
        <v>3</v>
      </c>
      <c r="BB23" s="364">
        <f t="shared" si="11"/>
        <v>1</v>
      </c>
      <c r="BC23" s="364">
        <f t="shared" si="11"/>
        <v>21</v>
      </c>
    </row>
    <row r="24" spans="1:55" ht="18.75" x14ac:dyDescent="0.2">
      <c r="A24" s="185"/>
      <c r="B24" s="186"/>
      <c r="C24" s="187"/>
      <c r="D24" s="187"/>
      <c r="E24" s="187"/>
      <c r="F24" s="187"/>
      <c r="G24" s="187"/>
      <c r="H24" s="186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6"/>
      <c r="AA24" s="187"/>
      <c r="AB24" s="187"/>
      <c r="AC24" s="187"/>
      <c r="AD24" s="187"/>
      <c r="AE24" s="187"/>
    </row>
    <row r="25" spans="1:55" ht="56.25" customHeight="1" x14ac:dyDescent="0.2">
      <c r="A25" s="486" t="s">
        <v>155</v>
      </c>
      <c r="B25" s="486"/>
      <c r="C25" s="486"/>
      <c r="D25" s="486"/>
      <c r="E25" s="486"/>
      <c r="F25" s="486"/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486"/>
      <c r="V25" s="486"/>
      <c r="W25" s="486"/>
      <c r="X25" s="486"/>
      <c r="Y25" s="486"/>
      <c r="Z25" s="486"/>
      <c r="AA25" s="486"/>
      <c r="AB25" s="486"/>
      <c r="AC25" s="486"/>
      <c r="AD25" s="486"/>
      <c r="AE25" s="486"/>
      <c r="AF25" s="251" t="s">
        <v>342</v>
      </c>
      <c r="AG25" s="251" t="s">
        <v>342</v>
      </c>
      <c r="AJ25" s="251"/>
      <c r="AK25" s="251"/>
      <c r="AL25" s="251"/>
      <c r="AM25" s="251"/>
      <c r="AN25" s="251"/>
      <c r="AO25" s="251"/>
      <c r="AP25" s="251"/>
      <c r="AQ25" s="251"/>
      <c r="AR25" s="251"/>
      <c r="AS25" s="251"/>
      <c r="AT25" s="251"/>
      <c r="AU25" s="251"/>
      <c r="AV25" s="251"/>
      <c r="AW25" s="251"/>
      <c r="AX25" s="251"/>
      <c r="AY25" s="251"/>
      <c r="AZ25" s="251"/>
      <c r="BA25" s="251"/>
      <c r="BB25" s="251"/>
      <c r="BC25" s="251"/>
    </row>
    <row r="26" spans="1:55" ht="18.75" x14ac:dyDescent="0.3">
      <c r="A26" s="46"/>
      <c r="B26" s="46"/>
      <c r="C26" s="46"/>
      <c r="D26" s="46"/>
      <c r="E26" s="46"/>
      <c r="F26" s="46"/>
      <c r="G26" s="46"/>
    </row>
    <row r="27" spans="1:55" ht="36.6" customHeight="1" x14ac:dyDescent="0.2"/>
    <row r="34" spans="46:47" ht="18.75" x14ac:dyDescent="0.2">
      <c r="AT34" s="498"/>
      <c r="AU34" s="499"/>
    </row>
  </sheetData>
  <mergeCells count="62">
    <mergeCell ref="AY4:BC4"/>
    <mergeCell ref="AX4:AX7"/>
    <mergeCell ref="AS6:AS7"/>
    <mergeCell ref="BB5:BB7"/>
    <mergeCell ref="BC5:BC7"/>
    <mergeCell ref="AW6:AW7"/>
    <mergeCell ref="AV5:AW5"/>
    <mergeCell ref="AY5:AY7"/>
    <mergeCell ref="AZ5:AZ7"/>
    <mergeCell ref="BA5:BA7"/>
    <mergeCell ref="AG6:AG7"/>
    <mergeCell ref="AF6:AF7"/>
    <mergeCell ref="AU6:AU7"/>
    <mergeCell ref="AT5:AU5"/>
    <mergeCell ref="AL5:AL7"/>
    <mergeCell ref="AT6:AT7"/>
    <mergeCell ref="AT34:AU34"/>
    <mergeCell ref="B4:G5"/>
    <mergeCell ref="AF4:AG5"/>
    <mergeCell ref="AR5:AS5"/>
    <mergeCell ref="AV6:AV7"/>
    <mergeCell ref="AK4:AQ4"/>
    <mergeCell ref="AK5:AK7"/>
    <mergeCell ref="AJ4:AJ7"/>
    <mergeCell ref="AM5:AM7"/>
    <mergeCell ref="AN5:AN7"/>
    <mergeCell ref="AO5:AO7"/>
    <mergeCell ref="AP5:AP7"/>
    <mergeCell ref="AQ5:AQ7"/>
    <mergeCell ref="H4:M5"/>
    <mergeCell ref="AR4:AW4"/>
    <mergeCell ref="AR6:AR7"/>
    <mergeCell ref="E1:G1"/>
    <mergeCell ref="E6:G6"/>
    <mergeCell ref="D6:D7"/>
    <mergeCell ref="C6:C7"/>
    <mergeCell ref="AH4:AI5"/>
    <mergeCell ref="AH6:AH7"/>
    <mergeCell ref="AI6:AI7"/>
    <mergeCell ref="A2:AI2"/>
    <mergeCell ref="Z4:AE5"/>
    <mergeCell ref="AC6:AE6"/>
    <mergeCell ref="Z6:Z7"/>
    <mergeCell ref="AA6:AA7"/>
    <mergeCell ref="AB6:AB7"/>
    <mergeCell ref="H6:H7"/>
    <mergeCell ref="I6:I7"/>
    <mergeCell ref="J6:J7"/>
    <mergeCell ref="A25:AE25"/>
    <mergeCell ref="T4:Y5"/>
    <mergeCell ref="T6:T7"/>
    <mergeCell ref="U6:U7"/>
    <mergeCell ref="V6:V7"/>
    <mergeCell ref="W6:Y6"/>
    <mergeCell ref="N4:S5"/>
    <mergeCell ref="N6:N7"/>
    <mergeCell ref="O6:O7"/>
    <mergeCell ref="P6:P7"/>
    <mergeCell ref="Q6:S6"/>
    <mergeCell ref="K6:M6"/>
    <mergeCell ref="A4:A7"/>
    <mergeCell ref="B6:B7"/>
  </mergeCells>
  <phoneticPr fontId="15" type="noConversion"/>
  <printOptions horizontalCentered="1"/>
  <pageMargins left="0" right="0" top="0.39370078740157483" bottom="0.19685039370078741" header="0" footer="0"/>
  <pageSetup paperSize="9" scale="36" orientation="landscape" horizontalDpi="300" verticalDpi="300" r:id="rId1"/>
  <headerFooter alignWithMargins="0"/>
  <colBreaks count="1" manualBreakCount="1">
    <brk id="31" max="1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50"/>
  </sheetPr>
  <dimension ref="A1:Q16"/>
  <sheetViews>
    <sheetView view="pageBreakPreview" zoomScale="75" zoomScaleNormal="75" workbookViewId="0">
      <selection activeCell="C11" sqref="C11:C14"/>
    </sheetView>
  </sheetViews>
  <sheetFormatPr defaultRowHeight="12.75" x14ac:dyDescent="0.2"/>
  <cols>
    <col min="1" max="1" width="5.5703125" customWidth="1"/>
    <col min="2" max="2" width="46.28515625" customWidth="1"/>
    <col min="3" max="3" width="22.7109375" customWidth="1"/>
    <col min="4" max="4" width="14.5703125" customWidth="1"/>
    <col min="5" max="5" width="19.28515625" customWidth="1"/>
    <col min="6" max="6" width="21.140625" customWidth="1"/>
    <col min="7" max="8" width="19.140625" customWidth="1"/>
    <col min="9" max="9" width="20.28515625" customWidth="1"/>
    <col min="10" max="13" width="16.85546875" customWidth="1"/>
    <col min="14" max="14" width="16.7109375" customWidth="1"/>
    <col min="15" max="15" width="23" customWidth="1"/>
  </cols>
  <sheetData>
    <row r="1" spans="1:17" ht="26.25" customHeight="1" x14ac:dyDescent="0.2">
      <c r="N1" s="517" t="s">
        <v>138</v>
      </c>
      <c r="O1" s="517"/>
      <c r="P1" s="121"/>
      <c r="Q1" s="121"/>
    </row>
    <row r="3" spans="1:17" ht="72" customHeight="1" x14ac:dyDescent="0.2">
      <c r="A3" s="518" t="s">
        <v>298</v>
      </c>
      <c r="B3" s="518"/>
      <c r="C3" s="518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</row>
    <row r="4" spans="1:17" ht="29.25" customHeight="1" x14ac:dyDescent="0.2">
      <c r="A4" s="160"/>
      <c r="B4" s="160"/>
      <c r="C4" s="160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</row>
    <row r="5" spans="1:17" ht="63" customHeight="1" x14ac:dyDescent="0.2">
      <c r="A5" s="522" t="s">
        <v>73</v>
      </c>
      <c r="B5" s="522" t="s">
        <v>128</v>
      </c>
      <c r="C5" s="522" t="s">
        <v>86</v>
      </c>
      <c r="D5" s="522" t="s">
        <v>87</v>
      </c>
      <c r="E5" s="522" t="s">
        <v>134</v>
      </c>
      <c r="F5" s="522"/>
      <c r="G5" s="522" t="s">
        <v>282</v>
      </c>
      <c r="H5" s="522" t="s">
        <v>283</v>
      </c>
      <c r="I5" s="522" t="s">
        <v>88</v>
      </c>
      <c r="J5" s="522" t="s">
        <v>126</v>
      </c>
      <c r="K5" s="522"/>
      <c r="L5" s="522"/>
      <c r="M5" s="522"/>
      <c r="N5" s="520" t="s">
        <v>135</v>
      </c>
      <c r="O5" s="520" t="s">
        <v>127</v>
      </c>
    </row>
    <row r="6" spans="1:17" ht="46.5" customHeight="1" thickBot="1" x14ac:dyDescent="0.25">
      <c r="A6" s="522"/>
      <c r="B6" s="522"/>
      <c r="C6" s="522"/>
      <c r="D6" s="522"/>
      <c r="E6" s="522"/>
      <c r="F6" s="522"/>
      <c r="G6" s="522"/>
      <c r="H6" s="522"/>
      <c r="I6" s="522"/>
      <c r="J6" s="236" t="s">
        <v>130</v>
      </c>
      <c r="K6" s="236" t="s">
        <v>131</v>
      </c>
      <c r="L6" s="236" t="s">
        <v>132</v>
      </c>
      <c r="M6" s="236" t="s">
        <v>129</v>
      </c>
      <c r="N6" s="521"/>
      <c r="O6" s="521"/>
    </row>
    <row r="7" spans="1:17" ht="33" customHeight="1" x14ac:dyDescent="0.25">
      <c r="A7" s="508">
        <v>1</v>
      </c>
      <c r="B7" s="505" t="s">
        <v>363</v>
      </c>
      <c r="C7" s="511" t="s">
        <v>367</v>
      </c>
      <c r="D7" s="511" t="s">
        <v>364</v>
      </c>
      <c r="E7" s="435" t="s">
        <v>365</v>
      </c>
      <c r="F7" s="436"/>
      <c r="G7" s="323">
        <f>G8+G9+G10</f>
        <v>292</v>
      </c>
      <c r="H7" s="511" t="s">
        <v>366</v>
      </c>
      <c r="I7" s="323">
        <f t="shared" ref="I7:O7" si="0">I8+I9+I10</f>
        <v>1047.7</v>
      </c>
      <c r="J7" s="323">
        <f t="shared" si="0"/>
        <v>15976</v>
      </c>
      <c r="K7" s="323">
        <f t="shared" si="0"/>
        <v>6244</v>
      </c>
      <c r="L7" s="323">
        <f t="shared" si="0"/>
        <v>14670</v>
      </c>
      <c r="M7" s="323">
        <f t="shared" si="0"/>
        <v>0</v>
      </c>
      <c r="N7" s="323">
        <f t="shared" si="0"/>
        <v>577.20000000000005</v>
      </c>
      <c r="O7" s="324">
        <f t="shared" si="0"/>
        <v>125</v>
      </c>
    </row>
    <row r="8" spans="1:17" ht="18" x14ac:dyDescent="0.25">
      <c r="A8" s="509"/>
      <c r="B8" s="506"/>
      <c r="C8" s="512"/>
      <c r="D8" s="512"/>
      <c r="E8" s="429">
        <v>2022</v>
      </c>
      <c r="F8" s="429">
        <v>2013</v>
      </c>
      <c r="G8" s="269">
        <v>4</v>
      </c>
      <c r="H8" s="523"/>
      <c r="I8" s="269">
        <v>513.6</v>
      </c>
      <c r="J8" s="269">
        <v>7988</v>
      </c>
      <c r="K8" s="269">
        <v>3122</v>
      </c>
      <c r="L8" s="269">
        <v>7335</v>
      </c>
      <c r="M8" s="269"/>
      <c r="N8" s="269">
        <v>251.6</v>
      </c>
      <c r="O8" s="325">
        <v>57</v>
      </c>
    </row>
    <row r="9" spans="1:17" ht="18" x14ac:dyDescent="0.25">
      <c r="A9" s="509"/>
      <c r="B9" s="506"/>
      <c r="C9" s="512"/>
      <c r="D9" s="512"/>
      <c r="E9" s="429">
        <v>2023</v>
      </c>
      <c r="F9" s="429">
        <v>2013</v>
      </c>
      <c r="G9" s="269">
        <v>230</v>
      </c>
      <c r="H9" s="523"/>
      <c r="I9" s="269">
        <v>534.1</v>
      </c>
      <c r="J9" s="269">
        <v>7988</v>
      </c>
      <c r="K9" s="269">
        <v>3122</v>
      </c>
      <c r="L9" s="269">
        <v>7335</v>
      </c>
      <c r="M9" s="269"/>
      <c r="N9" s="269">
        <v>325.60000000000002</v>
      </c>
      <c r="O9" s="325">
        <v>68</v>
      </c>
    </row>
    <row r="10" spans="1:17" ht="18.75" thickBot="1" x14ac:dyDescent="0.3">
      <c r="A10" s="510"/>
      <c r="B10" s="507"/>
      <c r="C10" s="513"/>
      <c r="D10" s="513"/>
      <c r="E10" s="516">
        <v>2024</v>
      </c>
      <c r="F10" s="516">
        <v>2013</v>
      </c>
      <c r="G10" s="326">
        <v>58</v>
      </c>
      <c r="H10" s="524"/>
      <c r="I10" s="326"/>
      <c r="J10" s="326"/>
      <c r="K10" s="326"/>
      <c r="L10" s="326"/>
      <c r="M10" s="326"/>
      <c r="N10" s="326"/>
      <c r="O10" s="327"/>
    </row>
    <row r="11" spans="1:17" ht="33" customHeight="1" x14ac:dyDescent="0.25">
      <c r="A11" s="514"/>
      <c r="B11" s="515"/>
      <c r="C11" s="515" t="s">
        <v>148</v>
      </c>
      <c r="D11" s="515"/>
      <c r="E11" s="435" t="str">
        <f>E7</f>
        <v>Всего за 2022-2024 гг., 
в т.ч. по годам:</v>
      </c>
      <c r="F11" s="436"/>
      <c r="G11" s="162"/>
      <c r="H11" s="250"/>
      <c r="I11" s="162"/>
      <c r="J11" s="162"/>
      <c r="K11" s="162"/>
      <c r="L11" s="162"/>
      <c r="M11" s="162"/>
      <c r="N11" s="162"/>
      <c r="O11" s="162"/>
    </row>
    <row r="12" spans="1:17" ht="18" x14ac:dyDescent="0.25">
      <c r="A12" s="514"/>
      <c r="B12" s="506"/>
      <c r="C12" s="506"/>
      <c r="D12" s="506"/>
      <c r="E12" s="429">
        <f>E8</f>
        <v>2022</v>
      </c>
      <c r="F12" s="429">
        <v>2013</v>
      </c>
      <c r="G12" s="162"/>
      <c r="H12" s="250"/>
      <c r="I12" s="162"/>
      <c r="J12" s="162"/>
      <c r="K12" s="162"/>
      <c r="L12" s="162"/>
      <c r="M12" s="162"/>
      <c r="N12" s="162"/>
      <c r="O12" s="162"/>
    </row>
    <row r="13" spans="1:17" ht="18" x14ac:dyDescent="0.25">
      <c r="A13" s="514"/>
      <c r="B13" s="506"/>
      <c r="C13" s="506"/>
      <c r="D13" s="506"/>
      <c r="E13" s="429">
        <f>E9</f>
        <v>2023</v>
      </c>
      <c r="F13" s="429">
        <v>2013</v>
      </c>
      <c r="G13" s="162"/>
      <c r="H13" s="250"/>
      <c r="I13" s="162"/>
      <c r="J13" s="162"/>
      <c r="K13" s="162"/>
      <c r="L13" s="162"/>
      <c r="M13" s="162"/>
      <c r="N13" s="162"/>
      <c r="O13" s="162"/>
    </row>
    <row r="14" spans="1:17" ht="18" x14ac:dyDescent="0.25">
      <c r="A14" s="514"/>
      <c r="B14" s="506"/>
      <c r="C14" s="506"/>
      <c r="D14" s="506"/>
      <c r="E14" s="429">
        <f>E10</f>
        <v>2024</v>
      </c>
      <c r="F14" s="429">
        <v>2013</v>
      </c>
      <c r="G14" s="162"/>
      <c r="H14" s="250"/>
      <c r="I14" s="162"/>
      <c r="J14" s="162"/>
      <c r="K14" s="162"/>
      <c r="L14" s="162"/>
      <c r="M14" s="162"/>
      <c r="N14" s="162"/>
      <c r="O14" s="162"/>
    </row>
    <row r="15" spans="1:17" ht="30" customHeight="1" x14ac:dyDescent="0.2">
      <c r="A15" s="504" t="s">
        <v>172</v>
      </c>
      <c r="B15" s="504"/>
      <c r="C15" s="504"/>
      <c r="D15" s="504"/>
      <c r="E15" s="504"/>
      <c r="F15" s="504"/>
      <c r="G15" s="189"/>
      <c r="H15" s="189"/>
      <c r="I15" s="189"/>
      <c r="J15" s="198"/>
      <c r="K15" s="198"/>
      <c r="L15" s="198"/>
      <c r="M15" s="198"/>
      <c r="N15" s="189"/>
      <c r="O15" s="189"/>
    </row>
    <row r="16" spans="1:17" ht="27.75" customHeight="1" x14ac:dyDescent="0.2">
      <c r="A16" s="504" t="s">
        <v>173</v>
      </c>
      <c r="B16" s="504"/>
      <c r="C16" s="504"/>
      <c r="D16" s="504"/>
      <c r="E16" s="504"/>
      <c r="F16" s="504"/>
      <c r="G16" s="189"/>
      <c r="H16" s="189"/>
      <c r="I16" s="189"/>
      <c r="J16" s="198"/>
      <c r="K16" s="198"/>
      <c r="L16" s="198"/>
      <c r="M16" s="198"/>
      <c r="N16" s="189"/>
      <c r="O16" s="189"/>
    </row>
  </sheetData>
  <mergeCells count="32">
    <mergeCell ref="C11:C14"/>
    <mergeCell ref="D11:D14"/>
    <mergeCell ref="N1:O1"/>
    <mergeCell ref="A3:O3"/>
    <mergeCell ref="N5:N6"/>
    <mergeCell ref="A5:A6"/>
    <mergeCell ref="D5:D6"/>
    <mergeCell ref="I5:I6"/>
    <mergeCell ref="O5:O6"/>
    <mergeCell ref="G5:G6"/>
    <mergeCell ref="J5:M5"/>
    <mergeCell ref="B5:B6"/>
    <mergeCell ref="C5:C6"/>
    <mergeCell ref="E5:F6"/>
    <mergeCell ref="H5:H6"/>
    <mergeCell ref="H7:H10"/>
    <mergeCell ref="A15:F15"/>
    <mergeCell ref="A16:F16"/>
    <mergeCell ref="B7:B10"/>
    <mergeCell ref="A7:A10"/>
    <mergeCell ref="C7:C10"/>
    <mergeCell ref="D7:D10"/>
    <mergeCell ref="A11:A14"/>
    <mergeCell ref="B11:B14"/>
    <mergeCell ref="E10:F10"/>
    <mergeCell ref="E13:F13"/>
    <mergeCell ref="E14:F14"/>
    <mergeCell ref="E11:F11"/>
    <mergeCell ref="E12:F12"/>
    <mergeCell ref="E7:F7"/>
    <mergeCell ref="E8:F8"/>
    <mergeCell ref="E9:F9"/>
  </mergeCells>
  <phoneticPr fontId="15" type="noConversion"/>
  <printOptions horizontalCentered="1"/>
  <pageMargins left="0.23622047244094491" right="0.19685039370078741" top="0.98425196850393704" bottom="0.98425196850393704" header="0.51181102362204722" footer="0.5118110236220472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Прогноз 2025-2027 </vt:lpstr>
      <vt:lpstr>Приложение 2</vt:lpstr>
      <vt:lpstr>Прил 3 (расчет ИФО) (2)</vt:lpstr>
      <vt:lpstr>Прил 4 (показатели предприятий)</vt:lpstr>
      <vt:lpstr>Прил 5 Прогноз по поселениям</vt:lpstr>
      <vt:lpstr>Прил 6 Инвестпроекты</vt:lpstr>
      <vt:lpstr>'Прил 3 (расчет ИФО) (2)'!Заголовки_для_печати</vt:lpstr>
      <vt:lpstr>'Прил 5 Прогноз по поселениям'!Заголовки_для_печати</vt:lpstr>
      <vt:lpstr>'Приложение 2'!Заголовки_для_печати</vt:lpstr>
      <vt:lpstr>'Прогноз 2025-2027 '!Заголовки_для_печати</vt:lpstr>
      <vt:lpstr>'Прил 3 (расчет ИФО) (2)'!Область_печати</vt:lpstr>
      <vt:lpstr>'Прил 4 (показатели предприятий)'!Область_печати</vt:lpstr>
      <vt:lpstr>'Прил 5 Прогноз по поселениям'!Область_печати</vt:lpstr>
      <vt:lpstr>'Прил 6 Инвестпроекты'!Область_печати</vt:lpstr>
      <vt:lpstr>'Приложение 2'!Область_печати</vt:lpstr>
      <vt:lpstr>'Прогноз 2025-2027 '!Область_печати</vt:lpstr>
    </vt:vector>
  </TitlesOfParts>
  <Company>AoIR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Михайловна Дроздова</cp:lastModifiedBy>
  <cp:lastPrinted>2024-06-21T02:01:26Z</cp:lastPrinted>
  <dcterms:created xsi:type="dcterms:W3CDTF">2006-03-06T08:26:24Z</dcterms:created>
  <dcterms:modified xsi:type="dcterms:W3CDTF">2024-10-28T05:21:57Z</dcterms:modified>
</cp:coreProperties>
</file>